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ЧИНГИЗ ВСЕ\ЧИНГИЗ 2023г\ОТЧЕТЫ ГОСТ в ДЭ\РВПЗ 2022г\"/>
    </mc:Choice>
  </mc:AlternateContent>
  <bookViews>
    <workbookView xWindow="480" yWindow="135" windowWidth="20115" windowHeight="12090" firstSheet="1" activeTab="4"/>
  </bookViews>
  <sheets>
    <sheet name="БОФ" sheetId="1" r:id="rId1"/>
    <sheet name="выбросы" sheetId="2" r:id="rId2"/>
    <sheet name="сбросы" sheetId="4" r:id="rId3"/>
    <sheet name="сбросы за пределы" sheetId="3" r:id="rId4"/>
    <sheet name="отходы" sheetId="5" r:id="rId5"/>
  </sheets>
  <calcPr calcId="152511"/>
</workbook>
</file>

<file path=xl/calcChain.xml><?xml version="1.0" encoding="utf-8"?>
<calcChain xmlns="http://schemas.openxmlformats.org/spreadsheetml/2006/main">
  <c r="CK12" i="2" l="1"/>
  <c r="CC12" i="2"/>
  <c r="CA12" i="2"/>
  <c r="BY12" i="2"/>
  <c r="BW12" i="2"/>
  <c r="BU12" i="2"/>
  <c r="BM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M12" i="2"/>
  <c r="K12" i="2"/>
  <c r="I12" i="2"/>
  <c r="G12" i="2"/>
  <c r="E12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M11" i="2"/>
  <c r="K11" i="2"/>
  <c r="I11" i="2"/>
  <c r="G11" i="2"/>
  <c r="E11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M10" i="2"/>
  <c r="K10" i="2"/>
  <c r="I10" i="2"/>
  <c r="G10" i="2"/>
  <c r="E10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M9" i="2"/>
  <c r="K9" i="2"/>
  <c r="I9" i="2"/>
  <c r="G9" i="2"/>
  <c r="E9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M8" i="2"/>
  <c r="K8" i="2"/>
  <c r="I8" i="2"/>
  <c r="G8" i="2"/>
  <c r="E8" i="2"/>
  <c r="CA7" i="2"/>
  <c r="BY7" i="2"/>
  <c r="BQ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M7" i="2"/>
  <c r="K7" i="2"/>
  <c r="I7" i="2"/>
  <c r="G7" i="2"/>
  <c r="E7" i="2"/>
</calcChain>
</file>

<file path=xl/sharedStrings.xml><?xml version="1.0" encoding="utf-8"?>
<sst xmlns="http://schemas.openxmlformats.org/spreadsheetml/2006/main" count="201" uniqueCount="138">
  <si>
    <t xml:space="preserve">Информация по стационарным источникам </t>
  </si>
  <si>
    <t>№ п/п</t>
  </si>
  <si>
    <t>Общие сведения</t>
  </si>
  <si>
    <t>Наименование</t>
  </si>
  <si>
    <t>Данные</t>
  </si>
  <si>
    <t>БИН предприятия</t>
  </si>
  <si>
    <t>Почтовый адрес предприятия</t>
  </si>
  <si>
    <t>8.1</t>
  </si>
  <si>
    <t>8.2</t>
  </si>
  <si>
    <t>8.3</t>
  </si>
  <si>
    <t>8.4</t>
  </si>
  <si>
    <t>ФИО первого руководителя предприятия</t>
  </si>
  <si>
    <t>ФИО лица, уполномоченного соответствующим оператором на предоставление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</si>
  <si>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</si>
  <si>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</si>
  <si>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</si>
  <si>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Область</t>
  </si>
  <si>
    <t>Город</t>
  </si>
  <si>
    <t>улица/участок</t>
  </si>
  <si>
    <t>№ дома / строение 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</si>
  <si>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</si>
  <si>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Типы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</si>
  <si>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</si>
  <si>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предоставляется отчетность*</t>
  </si>
  <si>
    <t>Вид деятельности объекта, по которому предоставляется отчетность**</t>
  </si>
  <si>
    <t>* "объект" согласно определению в Правилах</t>
  </si>
  <si>
    <t>** выбирается из Приложения 1 Правил</t>
  </si>
  <si>
    <t>Данные о выбросе загрязнителей в атмосферу за отчетный период</t>
  </si>
  <si>
    <t>№п/п</t>
  </si>
  <si>
    <t>Номер по CAS</t>
  </si>
  <si>
    <t>Категория (группа) веществ</t>
  </si>
  <si>
    <t>Наименование загрязнителя*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</si>
  <si>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</si>
  <si>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</si>
  <si>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</si>
  <si>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</si>
  <si>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</si>
  <si>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</si>
  <si>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</si>
  <si>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Данные о сбросах сточных вод в воду за отчетный период</t>
  </si>
  <si>
    <t>Перенос загрязнителей в сточных водах за пределы участка*</t>
  </si>
  <si>
    <t>Объем переданных стоков строронним организациям (м3)</t>
  </si>
  <si>
    <t>Оборотное использование (м3)</t>
  </si>
  <si>
    <t>Повтороное использование (м3)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</si>
  <si>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</si>
  <si>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</si>
  <si>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</si>
  <si>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</si>
  <si>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</si>
  <si>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("У"/"В")</t>
  </si>
  <si>
    <t>Остаток отходов на конец отчетного года (т)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</si>
  <si>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</si>
  <si>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Объем, кг/год **</t>
  </si>
  <si>
    <t>  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</t>
  </si>
  <si>
    <t> *классификатор отходов утвержден приказом исполняющего обязанности Министра экологии, геологии и природных ресурсов Республики Казахстан от 6 августа 2021 года № 314.</t>
  </si>
  <si>
    <t>Наименование предприятия (оператор объекта)</t>
  </si>
  <si>
    <t>Балхашская обогатительная фабрика</t>
  </si>
  <si>
    <t>Балхашская обогатительная фабрика Филиал ТОО "Корпорация Казахмыс" - 
ПО "Балхашцветмет"</t>
  </si>
  <si>
    <t>Бакиров С.Ш.</t>
  </si>
  <si>
    <t xml:space="preserve">Карагандинская </t>
  </si>
  <si>
    <t>Балхаш</t>
  </si>
  <si>
    <t>Промышленность по переработке минерального сырья</t>
  </si>
  <si>
    <t>1. 211.2.01.01-97 МПРООС, 1997 г.,Приложение №11 к Приказу Министра охраны окружающей среды Республики Казахстан от 18.04.2008 №100-п.                                              2. РНД 211.2.02.03-2004. Астана, 2005.  РНД 211.2.025.05 -2004.              3. Приложение №11 к Приказу Министра охраны окружающей среды Республики Казахстан от 18.04.2008 №100-п</t>
  </si>
  <si>
    <t>7440-50-8</t>
  </si>
  <si>
    <t>7439-92-1</t>
  </si>
  <si>
    <t>7440-66-6</t>
  </si>
  <si>
    <t>7440-38-2</t>
  </si>
  <si>
    <t>Медь и ее соединения (в пересчете на Cu)</t>
  </si>
  <si>
    <t>Свинец и его соединения (в пересчете на Pb)</t>
  </si>
  <si>
    <t>Цинк и его соединения (в пересчете на Zn)</t>
  </si>
  <si>
    <t>Оксиды серы (SOX/SO2)</t>
  </si>
  <si>
    <t>Мышьяк и его соединения (в пересчете на As)</t>
  </si>
  <si>
    <t>Взвешенные частицы РМ10</t>
  </si>
  <si>
    <t>Ист.6002.Пыления откосов хвостохранилища. Пыления поверхности пляжей хвостохранилища</t>
  </si>
  <si>
    <t>Ист.6016.сварочный пост. покрасочный участок</t>
  </si>
  <si>
    <t>Аспирационная установка – 54.ист.0003</t>
  </si>
  <si>
    <t>Аспирационная установка – 55.ист.0004</t>
  </si>
  <si>
    <t>Аспирационная установка – 56. ист.0005</t>
  </si>
  <si>
    <t>Аспирационная установка – 57. ист.0006</t>
  </si>
  <si>
    <t>Аспирационная установка – 58. ист.0007</t>
  </si>
  <si>
    <t>Аспирационная установка – 79. ист.0008</t>
  </si>
  <si>
    <t>Аспирационная установка – 61, 0009</t>
  </si>
  <si>
    <t>Аспирационная установка – 59,0010</t>
  </si>
  <si>
    <t>Аспирационная установка – 62,0011</t>
  </si>
  <si>
    <t>Аспирационная установка – 63,0012</t>
  </si>
  <si>
    <t>Аспирационная установка – 64,0013</t>
  </si>
  <si>
    <t>Аспирационная установка – 65,0014</t>
  </si>
  <si>
    <t>Аспирационная установка – 66,0015</t>
  </si>
  <si>
    <t>Аспирационная установка – 67,0016</t>
  </si>
  <si>
    <t>Аспирационная установка – 68,0017</t>
  </si>
  <si>
    <t>Аспирационная установка – 69,0018</t>
  </si>
  <si>
    <t>Аспирационная установка – 70,0019</t>
  </si>
  <si>
    <t>Аспирационная установка – 71,0020</t>
  </si>
  <si>
    <t>Аспирационная установка – 72,0021</t>
  </si>
  <si>
    <t>Аспирационная установка – 73,0022</t>
  </si>
  <si>
    <t>Аспирационная установка – 93,0042</t>
  </si>
  <si>
    <t>Аспирационная установка – 94,0043</t>
  </si>
  <si>
    <t>Аспирационная установка – 95,0044</t>
  </si>
  <si>
    <t>Аспирационная установка – 96,0045</t>
  </si>
  <si>
    <t>Аспирационная установка – 97,0046</t>
  </si>
  <si>
    <t>Аспирационная установка – 98,0047</t>
  </si>
  <si>
    <t>Аспирационная установка – 102,0038</t>
  </si>
  <si>
    <t>Аспирационная установка – 103,0039</t>
  </si>
  <si>
    <t>Аспирационная установка – 104,0040</t>
  </si>
  <si>
    <t>Золошлаковые отходы БТЭЦ</t>
  </si>
  <si>
    <t>Зола от сжигания мазута БТЭЦ</t>
  </si>
  <si>
    <t>Шлам химводоочистки БТЭЦ</t>
  </si>
  <si>
    <t>Стабилизированные хвосты обогащения (хвостов обогащения ОФ со
шламами нейтрализации кислых стоков и шламов нейтрализации серной кислоты)</t>
  </si>
  <si>
    <t>улица Абай 1</t>
  </si>
  <si>
    <t>Абай</t>
  </si>
  <si>
    <t>Сбросы отсутствуют</t>
  </si>
  <si>
    <t>Сточные воды отсутствуют</t>
  </si>
  <si>
    <t>Мухтаров Г.Т.</t>
  </si>
  <si>
    <t>Вент.система - 90,0049</t>
  </si>
  <si>
    <t xml:space="preserve">Ист. 0028. Кузнечный горн. </t>
  </si>
  <si>
    <t xml:space="preserve">Ист. 6017. Открытый склад дробленной руды </t>
  </si>
  <si>
    <t>Ист. 6019. Механическая мастерская Главного корпуса</t>
  </si>
  <si>
    <t>Ист. 6020. Механическая мастерская Главного корпуса</t>
  </si>
  <si>
    <t>Ист.6021. Механическая мастерская. Сварочный пост. Покрасочный пост.</t>
  </si>
  <si>
    <t>Ист.6022. Механическая мастерская. Сварочный пост. Покрасочный пост.</t>
  </si>
  <si>
    <t>Ист.6023. Механическая мастерская. Сварочный пост. Покрасочный пост.</t>
  </si>
  <si>
    <t>Ист.6024. Открытый узел пыления припроведении транспортных работ № 1</t>
  </si>
  <si>
    <t>Ист.6025. Открытый узел пыления припроведении транспортных работ № 2.</t>
  </si>
  <si>
    <t>Ист.6026. Открытый узел пыления припроведении транспортных работ № 3.</t>
  </si>
  <si>
    <t>Ист.6027. Участок контрольно-измерительных приборов</t>
  </si>
  <si>
    <t>Ист.6028. Склад угля ЦСХ</t>
  </si>
  <si>
    <t>Ист.6029. Склад золы ЦСХ</t>
  </si>
  <si>
    <t>Ист.6030.  Вагоноорокидыватель.</t>
  </si>
  <si>
    <t>Ист.6031.  Склад для кокса кузнечного горна. Склад кокса кузнечного горна. Склад кокса кузнечного горна.</t>
  </si>
  <si>
    <t>Ист.6032.  Склад золы кузнечного горна Склад золы кузнечного горна.</t>
  </si>
  <si>
    <t>-</t>
  </si>
  <si>
    <t>И, Р</t>
  </si>
  <si>
    <t>И</t>
  </si>
  <si>
    <t>Р</t>
  </si>
  <si>
    <t>01 03 06</t>
  </si>
  <si>
    <t>19 09 06</t>
  </si>
  <si>
    <t>10 01 14*</t>
  </si>
  <si>
    <t>11 01 14*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</si>
</sst>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0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/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5" xfId="0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7" xfId="0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16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C30"/>
  <sheetViews>
    <sheetView topLeftCell="A16" zoomScale="80" zoomScaleNormal="80" workbookViewId="0">
      <selection activeCell="D22" sqref="D22"/>
    </sheetView>
  </sheetViews>
  <sheetFormatPr defaultRowHeight="15" x14ac:dyDescent="0.25"/>
  <cols>
    <col min="1" max="1" width="7.28515625" style="16" customWidth="1"/>
    <col min="2" max="2" width="67.42578125" style="17" customWidth="1"/>
    <col min="3" max="3" width="31.85546875" style="31" customWidth="1"/>
  </cols>
  <sheetData>
    <row r="2" spans="1:3" s="25" customFormat="1" x14ac:dyDescent="0.25">
      <c r="A2" s="4" t="s">
        <v>0</v>
      </c>
      <c r="C2" s="29"/>
    </row>
    <row r="3" spans="1:3" s="25" customFormat="1" x14ac:dyDescent="0.25">
      <c r="A3" s="7"/>
      <c r="C3" s="29"/>
    </row>
    <row r="4" spans="1:3" s="25" customFormat="1" x14ac:dyDescent="0.25">
      <c r="A4" s="5" t="s">
        <v>2</v>
      </c>
      <c r="B4" s="26"/>
      <c r="C4" s="29"/>
    </row>
    <row r="5" spans="1:3" x14ac:dyDescent="0.25">
      <c r="A5" s="18" t="s">
        <v>1</v>
      </c>
      <c r="B5" s="3" t="s">
        <v>3</v>
      </c>
      <c r="C5" s="10" t="s">
        <v>4</v>
      </c>
    </row>
    <row r="6" spans="1:3" x14ac:dyDescent="0.25">
      <c r="A6" s="11">
        <v>1</v>
      </c>
      <c r="B6" s="15">
        <v>2</v>
      </c>
      <c r="C6" s="10">
        <v>3</v>
      </c>
    </row>
    <row r="7" spans="1:3" ht="60" x14ac:dyDescent="0.25">
      <c r="A7" s="18">
        <v>1</v>
      </c>
      <c r="B7" s="3" t="s">
        <v>55</v>
      </c>
      <c r="C7" s="33" t="s">
        <v>57</v>
      </c>
    </row>
    <row r="8" spans="1:3" ht="18.75" x14ac:dyDescent="0.25">
      <c r="A8" s="18">
        <v>2</v>
      </c>
      <c r="B8" s="32" t="s">
        <v>5</v>
      </c>
      <c r="C8" s="35">
        <v>140641022293</v>
      </c>
    </row>
    <row r="9" spans="1:3" x14ac:dyDescent="0.25">
      <c r="A9" s="18">
        <v>3</v>
      </c>
      <c r="B9" s="3" t="s">
        <v>6</v>
      </c>
      <c r="C9" s="34">
        <v>100300</v>
      </c>
    </row>
    <row r="10" spans="1:3" x14ac:dyDescent="0.25">
      <c r="A10" s="18">
        <v>4</v>
      </c>
      <c r="B10" s="3" t="s">
        <v>11</v>
      </c>
      <c r="C10" s="10" t="s">
        <v>112</v>
      </c>
    </row>
    <row r="11" spans="1:3" ht="59.25" customHeight="1" x14ac:dyDescent="0.25">
      <c r="A11" s="18">
        <v>5</v>
      </c>
      <c r="B11" s="3" t="s">
        <v>12</v>
      </c>
      <c r="C11" s="10" t="s">
        <v>58</v>
      </c>
    </row>
    <row r="12" spans="1:3" x14ac:dyDescent="0.25">
      <c r="A12" s="18">
        <v>6</v>
      </c>
      <c r="B12" s="3" t="s">
        <v>13</v>
      </c>
      <c r="C12" s="10">
        <v>2022</v>
      </c>
    </row>
    <row r="13" spans="1:3" x14ac:dyDescent="0.25">
      <c r="A13" s="18">
        <v>7</v>
      </c>
      <c r="B13" s="3" t="s">
        <v>14</v>
      </c>
      <c r="C13" s="10"/>
    </row>
    <row r="14" spans="1:3" x14ac:dyDescent="0.25">
      <c r="A14" s="18">
        <v>8</v>
      </c>
      <c r="B14" s="3" t="s">
        <v>15</v>
      </c>
      <c r="C14" s="10" t="s">
        <v>108</v>
      </c>
    </row>
    <row r="15" spans="1:3" x14ac:dyDescent="0.25">
      <c r="A15" s="23" t="s">
        <v>7</v>
      </c>
      <c r="B15" s="3" t="s">
        <v>16</v>
      </c>
      <c r="C15" s="10" t="s">
        <v>59</v>
      </c>
    </row>
    <row r="16" spans="1:3" x14ac:dyDescent="0.25">
      <c r="A16" s="23" t="s">
        <v>8</v>
      </c>
      <c r="B16" s="3" t="s">
        <v>17</v>
      </c>
      <c r="C16" s="10" t="s">
        <v>60</v>
      </c>
    </row>
    <row r="17" spans="1:3" x14ac:dyDescent="0.25">
      <c r="A17" s="23" t="s">
        <v>9</v>
      </c>
      <c r="B17" s="3" t="s">
        <v>18</v>
      </c>
      <c r="C17" s="10" t="s">
        <v>109</v>
      </c>
    </row>
    <row r="18" spans="1:3" x14ac:dyDescent="0.25">
      <c r="A18" s="23" t="s">
        <v>10</v>
      </c>
      <c r="B18" s="3" t="s">
        <v>19</v>
      </c>
      <c r="C18" s="10">
        <v>1</v>
      </c>
    </row>
    <row r="19" spans="1:3" ht="30" x14ac:dyDescent="0.25">
      <c r="A19" s="18">
        <v>9</v>
      </c>
      <c r="B19" s="3" t="s">
        <v>20</v>
      </c>
      <c r="C19" s="10"/>
    </row>
    <row r="20" spans="1:3" ht="165" x14ac:dyDescent="0.25">
      <c r="A20" s="18">
        <v>10</v>
      </c>
      <c r="B20" s="3" t="s">
        <v>21</v>
      </c>
      <c r="C20" s="10" t="s">
        <v>62</v>
      </c>
    </row>
    <row r="21" spans="1:3" x14ac:dyDescent="0.25">
      <c r="A21" s="24"/>
      <c r="B21" s="12"/>
      <c r="C21" s="30"/>
    </row>
    <row r="22" spans="1:3" x14ac:dyDescent="0.25">
      <c r="A22" s="24"/>
      <c r="B22" s="12"/>
      <c r="C22" s="30"/>
    </row>
    <row r="24" spans="1:3" x14ac:dyDescent="0.25">
      <c r="A24" s="8" t="s">
        <v>22</v>
      </c>
      <c r="B24" s="13"/>
    </row>
    <row r="25" spans="1:3" x14ac:dyDescent="0.25">
      <c r="A25" s="18" t="s">
        <v>1</v>
      </c>
      <c r="B25" s="3" t="s">
        <v>3</v>
      </c>
      <c r="C25" s="10" t="s">
        <v>4</v>
      </c>
    </row>
    <row r="26" spans="1:3" x14ac:dyDescent="0.25">
      <c r="A26" s="11">
        <v>1</v>
      </c>
      <c r="B26" s="15">
        <v>2</v>
      </c>
      <c r="C26" s="10">
        <v>3</v>
      </c>
    </row>
    <row r="27" spans="1:3" ht="46.5" customHeight="1" x14ac:dyDescent="0.25">
      <c r="A27" s="18">
        <v>1</v>
      </c>
      <c r="B27" s="3" t="s">
        <v>23</v>
      </c>
      <c r="C27" s="10" t="s">
        <v>56</v>
      </c>
    </row>
    <row r="28" spans="1:3" ht="45" x14ac:dyDescent="0.25">
      <c r="A28" s="18">
        <v>2</v>
      </c>
      <c r="B28" s="3" t="s">
        <v>24</v>
      </c>
      <c r="C28" s="10" t="s">
        <v>61</v>
      </c>
    </row>
    <row r="29" spans="1:3" x14ac:dyDescent="0.25">
      <c r="A29" s="69" t="s">
        <v>25</v>
      </c>
      <c r="B29" s="69"/>
      <c r="C29" s="69"/>
    </row>
    <row r="30" spans="1:3" x14ac:dyDescent="0.25">
      <c r="A30" s="69" t="s">
        <v>26</v>
      </c>
      <c r="B30" s="69"/>
      <c r="C30" s="69"/>
    </row>
  </sheetData>
  <mergeCells count="2"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508"/>
  <sheetViews>
    <sheetView zoomScale="80" zoomScaleNormal="80" workbookViewId="0">
      <selection activeCell="K12" sqref="K12"/>
    </sheetView>
  </sheetViews>
  <sheetFormatPr defaultRowHeight="15" x14ac:dyDescent="0.25"/>
  <cols>
    <col min="3" max="3" width="11.42578125" customWidth="1"/>
    <col min="4" max="4" width="26" customWidth="1"/>
    <col min="5" max="5" width="13" customWidth="1"/>
    <col min="6" max="6" width="12.140625" customWidth="1"/>
    <col min="7" max="8" width="13.7109375" customWidth="1"/>
    <col min="9" max="9" width="14.85546875" customWidth="1"/>
    <col min="10" max="10" width="13.42578125" customWidth="1"/>
    <col min="11" max="45" width="13.7109375" customWidth="1"/>
    <col min="46" max="46" width="14.85546875" customWidth="1"/>
    <col min="47" max="72" width="13.7109375" customWidth="1"/>
    <col min="73" max="73" width="13.7109375" style="46" customWidth="1"/>
    <col min="74" max="100" width="13.7109375" customWidth="1"/>
    <col min="101" max="101" width="24.140625" customWidth="1"/>
  </cols>
  <sheetData>
    <row r="2" spans="1:103" x14ac:dyDescent="0.25">
      <c r="A2" s="1" t="s">
        <v>27</v>
      </c>
    </row>
    <row r="3" spans="1:103" s="7" customFormat="1" ht="36" customHeight="1" x14ac:dyDescent="0.25">
      <c r="A3" s="77" t="s">
        <v>28</v>
      </c>
      <c r="B3" s="77" t="s">
        <v>29</v>
      </c>
      <c r="C3" s="77" t="s">
        <v>30</v>
      </c>
      <c r="D3" s="77" t="s">
        <v>31</v>
      </c>
      <c r="E3" s="78" t="s">
        <v>51</v>
      </c>
      <c r="F3" s="79"/>
      <c r="G3" s="79"/>
      <c r="H3" s="79"/>
      <c r="I3" s="79"/>
      <c r="J3" s="79"/>
      <c r="K3" s="79"/>
      <c r="L3" s="79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43"/>
      <c r="AT3" s="43"/>
      <c r="AU3" s="43"/>
      <c r="AV3" s="43"/>
      <c r="AW3" s="43"/>
      <c r="AX3" s="43"/>
      <c r="AY3" s="43"/>
      <c r="AZ3" s="4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43"/>
      <c r="BQ3" s="33"/>
      <c r="BR3" s="33"/>
      <c r="BS3" s="33"/>
      <c r="BT3" s="33"/>
      <c r="BU3" s="47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82" t="s">
        <v>32</v>
      </c>
      <c r="CX3" s="48"/>
      <c r="CY3" s="48"/>
    </row>
    <row r="4" spans="1:103" s="38" customFormat="1" ht="45.75" customHeight="1" x14ac:dyDescent="0.25">
      <c r="A4" s="77"/>
      <c r="B4" s="77"/>
      <c r="C4" s="77"/>
      <c r="D4" s="77"/>
      <c r="E4" s="81" t="s">
        <v>75</v>
      </c>
      <c r="F4" s="80"/>
      <c r="G4" s="73" t="s">
        <v>76</v>
      </c>
      <c r="H4" s="73"/>
      <c r="I4" s="74" t="s">
        <v>77</v>
      </c>
      <c r="J4" s="80"/>
      <c r="K4" s="74" t="s">
        <v>78</v>
      </c>
      <c r="L4" s="80"/>
      <c r="M4" s="75" t="s">
        <v>79</v>
      </c>
      <c r="N4" s="76"/>
      <c r="O4" s="75" t="s">
        <v>80</v>
      </c>
      <c r="P4" s="76"/>
      <c r="Q4" s="75" t="s">
        <v>81</v>
      </c>
      <c r="R4" s="76"/>
      <c r="S4" s="75" t="s">
        <v>82</v>
      </c>
      <c r="T4" s="76"/>
      <c r="U4" s="75" t="s">
        <v>83</v>
      </c>
      <c r="V4" s="76"/>
      <c r="W4" s="75" t="s">
        <v>84</v>
      </c>
      <c r="X4" s="76"/>
      <c r="Y4" s="75" t="s">
        <v>85</v>
      </c>
      <c r="Z4" s="76"/>
      <c r="AA4" s="75" t="s">
        <v>86</v>
      </c>
      <c r="AB4" s="76"/>
      <c r="AC4" s="75" t="s">
        <v>87</v>
      </c>
      <c r="AD4" s="76"/>
      <c r="AE4" s="75" t="s">
        <v>88</v>
      </c>
      <c r="AF4" s="76"/>
      <c r="AG4" s="75" t="s">
        <v>89</v>
      </c>
      <c r="AH4" s="76"/>
      <c r="AI4" s="75" t="s">
        <v>90</v>
      </c>
      <c r="AJ4" s="76"/>
      <c r="AK4" s="75" t="s">
        <v>91</v>
      </c>
      <c r="AL4" s="76"/>
      <c r="AM4" s="75" t="s">
        <v>92</v>
      </c>
      <c r="AN4" s="76"/>
      <c r="AO4" s="75" t="s">
        <v>93</v>
      </c>
      <c r="AP4" s="76"/>
      <c r="AQ4" s="75" t="s">
        <v>94</v>
      </c>
      <c r="AR4" s="76"/>
      <c r="AS4" s="73" t="s">
        <v>95</v>
      </c>
      <c r="AT4" s="73"/>
      <c r="AU4" s="73" t="s">
        <v>96</v>
      </c>
      <c r="AV4" s="73"/>
      <c r="AW4" s="73" t="s">
        <v>97</v>
      </c>
      <c r="AX4" s="73"/>
      <c r="AY4" s="73" t="s">
        <v>98</v>
      </c>
      <c r="AZ4" s="74"/>
      <c r="BA4" s="73" t="s">
        <v>99</v>
      </c>
      <c r="BB4" s="74"/>
      <c r="BC4" s="73" t="s">
        <v>100</v>
      </c>
      <c r="BD4" s="74"/>
      <c r="BE4" s="73" t="s">
        <v>101</v>
      </c>
      <c r="BF4" s="74"/>
      <c r="BG4" s="73" t="s">
        <v>102</v>
      </c>
      <c r="BH4" s="74"/>
      <c r="BI4" s="73" t="s">
        <v>103</v>
      </c>
      <c r="BJ4" s="73"/>
      <c r="BK4" s="70" t="s">
        <v>113</v>
      </c>
      <c r="BL4" s="70"/>
      <c r="BM4" s="70" t="s">
        <v>114</v>
      </c>
      <c r="BN4" s="70"/>
      <c r="BO4" s="70" t="s">
        <v>73</v>
      </c>
      <c r="BP4" s="70"/>
      <c r="BQ4" s="70" t="s">
        <v>74</v>
      </c>
      <c r="BR4" s="70"/>
      <c r="BS4" s="71" t="s">
        <v>115</v>
      </c>
      <c r="BT4" s="72"/>
      <c r="BU4" s="71" t="s">
        <v>116</v>
      </c>
      <c r="BV4" s="72"/>
      <c r="BW4" s="71" t="s">
        <v>117</v>
      </c>
      <c r="BX4" s="72"/>
      <c r="BY4" s="70" t="s">
        <v>118</v>
      </c>
      <c r="BZ4" s="70"/>
      <c r="CA4" s="70" t="s">
        <v>119</v>
      </c>
      <c r="CB4" s="70"/>
      <c r="CC4" s="70" t="s">
        <v>120</v>
      </c>
      <c r="CD4" s="70"/>
      <c r="CE4" s="70" t="s">
        <v>121</v>
      </c>
      <c r="CF4" s="70"/>
      <c r="CG4" s="70" t="s">
        <v>122</v>
      </c>
      <c r="CH4" s="70"/>
      <c r="CI4" s="70" t="s">
        <v>123</v>
      </c>
      <c r="CJ4" s="70"/>
      <c r="CK4" s="70" t="s">
        <v>124</v>
      </c>
      <c r="CL4" s="70"/>
      <c r="CM4" s="70" t="s">
        <v>125</v>
      </c>
      <c r="CN4" s="70"/>
      <c r="CO4" s="70" t="s">
        <v>126</v>
      </c>
      <c r="CP4" s="70"/>
      <c r="CQ4" s="70" t="s">
        <v>127</v>
      </c>
      <c r="CR4" s="70"/>
      <c r="CS4" s="70" t="s">
        <v>128</v>
      </c>
      <c r="CT4" s="70"/>
      <c r="CU4" s="70" t="s">
        <v>129</v>
      </c>
      <c r="CV4" s="70"/>
      <c r="CW4" s="82"/>
      <c r="CX4" s="49"/>
      <c r="CY4" s="49"/>
    </row>
    <row r="5" spans="1:103" ht="60" customHeight="1" x14ac:dyDescent="0.25">
      <c r="A5" s="77"/>
      <c r="B5" s="77"/>
      <c r="C5" s="77"/>
      <c r="D5" s="77"/>
      <c r="E5" s="18" t="s">
        <v>37</v>
      </c>
      <c r="F5" s="3" t="s">
        <v>38</v>
      </c>
      <c r="G5" s="3" t="s">
        <v>37</v>
      </c>
      <c r="H5" s="3" t="s">
        <v>38</v>
      </c>
      <c r="I5" s="42" t="s">
        <v>37</v>
      </c>
      <c r="J5" s="42" t="s">
        <v>38</v>
      </c>
      <c r="K5" s="3" t="s">
        <v>37</v>
      </c>
      <c r="L5" s="3" t="s">
        <v>38</v>
      </c>
      <c r="M5" s="3" t="s">
        <v>37</v>
      </c>
      <c r="N5" s="3" t="s">
        <v>38</v>
      </c>
      <c r="O5" s="3" t="s">
        <v>37</v>
      </c>
      <c r="P5" s="3" t="s">
        <v>38</v>
      </c>
      <c r="Q5" s="3" t="s">
        <v>37</v>
      </c>
      <c r="R5" s="3" t="s">
        <v>38</v>
      </c>
      <c r="S5" s="3" t="s">
        <v>37</v>
      </c>
      <c r="T5" s="3" t="s">
        <v>38</v>
      </c>
      <c r="U5" s="3" t="s">
        <v>37</v>
      </c>
      <c r="V5" s="3" t="s">
        <v>38</v>
      </c>
      <c r="W5" s="3" t="s">
        <v>37</v>
      </c>
      <c r="X5" s="3" t="s">
        <v>38</v>
      </c>
      <c r="Y5" s="3" t="s">
        <v>37</v>
      </c>
      <c r="Z5" s="3" t="s">
        <v>38</v>
      </c>
      <c r="AA5" s="3" t="s">
        <v>37</v>
      </c>
      <c r="AB5" s="3" t="s">
        <v>38</v>
      </c>
      <c r="AC5" s="3" t="s">
        <v>37</v>
      </c>
      <c r="AD5" s="3" t="s">
        <v>38</v>
      </c>
      <c r="AE5" s="3" t="s">
        <v>37</v>
      </c>
      <c r="AF5" s="3" t="s">
        <v>38</v>
      </c>
      <c r="AG5" s="3" t="s">
        <v>37</v>
      </c>
      <c r="AH5" s="3" t="s">
        <v>38</v>
      </c>
      <c r="AI5" s="3" t="s">
        <v>37</v>
      </c>
      <c r="AJ5" s="3" t="s">
        <v>38</v>
      </c>
      <c r="AK5" s="3" t="s">
        <v>37</v>
      </c>
      <c r="AL5" s="3" t="s">
        <v>38</v>
      </c>
      <c r="AM5" s="3" t="s">
        <v>37</v>
      </c>
      <c r="AN5" s="3" t="s">
        <v>38</v>
      </c>
      <c r="AO5" s="3" t="s">
        <v>37</v>
      </c>
      <c r="AP5" s="3" t="s">
        <v>38</v>
      </c>
      <c r="AQ5" s="3" t="s">
        <v>37</v>
      </c>
      <c r="AR5" s="3" t="s">
        <v>38</v>
      </c>
      <c r="AS5" s="3"/>
      <c r="AT5" s="3"/>
      <c r="AU5" s="3"/>
      <c r="AV5" s="3"/>
      <c r="AW5" s="3"/>
      <c r="AX5" s="3"/>
      <c r="AY5" s="3"/>
      <c r="AZ5" s="3"/>
      <c r="BA5" s="36"/>
      <c r="BB5" s="36"/>
      <c r="BC5" s="36"/>
      <c r="BD5" s="36"/>
      <c r="BE5" s="36"/>
      <c r="BF5" s="36"/>
      <c r="BG5" s="36"/>
      <c r="BH5" s="36"/>
      <c r="BI5" s="3"/>
      <c r="BJ5" s="3"/>
      <c r="BK5" s="37"/>
      <c r="BL5" s="36"/>
      <c r="BM5" s="36"/>
      <c r="BN5" s="36"/>
      <c r="BO5" s="36"/>
      <c r="BP5" s="3"/>
      <c r="BQ5" s="36"/>
      <c r="BR5" s="36"/>
      <c r="BS5" s="36"/>
      <c r="BT5" s="36"/>
      <c r="BU5" s="50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82"/>
      <c r="CX5" s="51"/>
      <c r="CY5" s="51"/>
    </row>
    <row r="6" spans="1:103" s="28" customFormat="1" x14ac:dyDescent="0.25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42">
        <v>14</v>
      </c>
      <c r="O6" s="42">
        <v>15</v>
      </c>
      <c r="P6" s="42">
        <v>16</v>
      </c>
      <c r="Q6" s="42">
        <v>17</v>
      </c>
      <c r="R6" s="42">
        <v>18</v>
      </c>
      <c r="S6" s="42">
        <v>19</v>
      </c>
      <c r="T6" s="42">
        <v>20</v>
      </c>
      <c r="U6" s="42">
        <v>21</v>
      </c>
      <c r="V6" s="42">
        <v>22</v>
      </c>
      <c r="W6" s="42">
        <v>23</v>
      </c>
      <c r="X6" s="42">
        <v>24</v>
      </c>
      <c r="Y6" s="42">
        <v>25</v>
      </c>
      <c r="Z6" s="42">
        <v>26</v>
      </c>
      <c r="AA6" s="42">
        <v>27</v>
      </c>
      <c r="AB6" s="42">
        <v>28</v>
      </c>
      <c r="AC6" s="42">
        <v>29</v>
      </c>
      <c r="AD6" s="42">
        <v>30</v>
      </c>
      <c r="AE6" s="42">
        <v>31</v>
      </c>
      <c r="AF6" s="42">
        <v>32</v>
      </c>
      <c r="AG6" s="42">
        <v>33</v>
      </c>
      <c r="AH6" s="42">
        <v>34</v>
      </c>
      <c r="AI6" s="42">
        <v>35</v>
      </c>
      <c r="AJ6" s="42">
        <v>36</v>
      </c>
      <c r="AK6" s="42">
        <v>37</v>
      </c>
      <c r="AL6" s="42">
        <v>38</v>
      </c>
      <c r="AM6" s="42">
        <v>39</v>
      </c>
      <c r="AN6" s="42">
        <v>40</v>
      </c>
      <c r="AO6" s="42">
        <v>41</v>
      </c>
      <c r="AP6" s="42">
        <v>42</v>
      </c>
      <c r="AQ6" s="42">
        <v>43</v>
      </c>
      <c r="AR6" s="42">
        <v>44</v>
      </c>
      <c r="AS6" s="39">
        <v>45</v>
      </c>
      <c r="AT6" s="39">
        <v>46</v>
      </c>
      <c r="AU6" s="39">
        <v>47</v>
      </c>
      <c r="AV6" s="39">
        <v>48</v>
      </c>
      <c r="AW6" s="39">
        <v>49</v>
      </c>
      <c r="AX6" s="39">
        <v>50</v>
      </c>
      <c r="AY6" s="39">
        <v>51</v>
      </c>
      <c r="AZ6" s="39">
        <v>52</v>
      </c>
      <c r="BA6" s="39">
        <v>53</v>
      </c>
      <c r="BB6" s="39">
        <v>54</v>
      </c>
      <c r="BC6" s="39">
        <v>55</v>
      </c>
      <c r="BD6" s="39">
        <v>56</v>
      </c>
      <c r="BE6" s="39">
        <v>57</v>
      </c>
      <c r="BF6" s="39">
        <v>58</v>
      </c>
      <c r="BG6" s="39">
        <v>59</v>
      </c>
      <c r="BH6" s="39">
        <v>60</v>
      </c>
      <c r="BI6" s="42">
        <v>61</v>
      </c>
      <c r="BJ6" s="42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52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42">
        <v>13</v>
      </c>
    </row>
    <row r="7" spans="1:103" s="55" customFormat="1" ht="25.5" x14ac:dyDescent="0.25">
      <c r="A7" s="41">
        <v>1</v>
      </c>
      <c r="B7" s="41">
        <v>2</v>
      </c>
      <c r="C7" s="53" t="s">
        <v>63</v>
      </c>
      <c r="D7" s="54" t="s">
        <v>67</v>
      </c>
      <c r="E7" s="59">
        <f>0.4675085712*1000</f>
        <v>467.50857120000001</v>
      </c>
      <c r="F7" s="59"/>
      <c r="G7" s="59">
        <f>0.58126305465*1000</f>
        <v>581.26305465000007</v>
      </c>
      <c r="H7" s="59"/>
      <c r="I7" s="59">
        <f>0.225868992*1000</f>
        <v>225.86899199999999</v>
      </c>
      <c r="J7" s="59"/>
      <c r="K7" s="60">
        <f>0.23486897775*1000</f>
        <v>234.86897775</v>
      </c>
      <c r="L7" s="59"/>
      <c r="M7" s="60">
        <f>0.2315057316*1000</f>
        <v>231.50573159999999</v>
      </c>
      <c r="N7" s="59"/>
      <c r="O7" s="60" t="s">
        <v>130</v>
      </c>
      <c r="P7" s="59"/>
      <c r="Q7" s="60">
        <f>0.0144186288*1000</f>
        <v>14.4186288</v>
      </c>
      <c r="R7" s="59"/>
      <c r="S7" s="60">
        <f>0.01542799122*1000</f>
        <v>15.427991219999999</v>
      </c>
      <c r="T7" s="59"/>
      <c r="U7" s="60">
        <f>0.360604508*1000</f>
        <v>360.60450800000001</v>
      </c>
      <c r="V7" s="59"/>
      <c r="W7" s="60">
        <f>0.267223106*1000</f>
        <v>267.22310599999997</v>
      </c>
      <c r="X7" s="59"/>
      <c r="Y7" s="60">
        <f>0.373739128*1000</f>
        <v>373.73912799999999</v>
      </c>
      <c r="Z7" s="59"/>
      <c r="AA7" s="60">
        <f>0.1873790604*1000</f>
        <v>187.37906039999999</v>
      </c>
      <c r="AB7" s="59"/>
      <c r="AC7" s="60">
        <f>0.3686689072*1000</f>
        <v>368.66890720000004</v>
      </c>
      <c r="AD7" s="59"/>
      <c r="AE7" s="59">
        <f>0.360438716*1000</f>
        <v>360.438716</v>
      </c>
      <c r="AF7" s="61"/>
      <c r="AG7" s="59">
        <f>0.360136648*1000</f>
        <v>360.13664799999998</v>
      </c>
      <c r="AH7" s="59"/>
      <c r="AI7" s="59">
        <f>0.334968292*1000</f>
        <v>334.96829200000002</v>
      </c>
      <c r="AJ7" s="59"/>
      <c r="AK7" s="59">
        <f>0.0722876042*1000</f>
        <v>72.28760419999999</v>
      </c>
      <c r="AL7" s="59"/>
      <c r="AM7" s="59">
        <f>0.2487480525*1000</f>
        <v>248.7480525</v>
      </c>
      <c r="AN7" s="59"/>
      <c r="AO7" s="59">
        <f>0.2461294495*1000</f>
        <v>246.12944950000002</v>
      </c>
      <c r="AP7" s="59"/>
      <c r="AQ7" s="59">
        <f>0.248242434*1000</f>
        <v>248.242434</v>
      </c>
      <c r="AR7" s="59"/>
      <c r="AS7" s="59">
        <f>0.035860818235*1000</f>
        <v>35.860818235000004</v>
      </c>
      <c r="AT7" s="59"/>
      <c r="AU7" s="59">
        <f>0.26913513835*1000</f>
        <v>269.13513835000003</v>
      </c>
      <c r="AV7" s="59"/>
      <c r="AW7" s="60">
        <f>0.03032104105*1000</f>
        <v>30.321041050000002</v>
      </c>
      <c r="AX7" s="59"/>
      <c r="AY7" s="60">
        <f>0.03190397*1000</f>
        <v>31.903969999999997</v>
      </c>
      <c r="AZ7" s="59"/>
      <c r="BA7" s="60">
        <f>0.3166381181*1000</f>
        <v>316.63811809999999</v>
      </c>
      <c r="BB7" s="59"/>
      <c r="BC7" s="60">
        <f>0.2384001354*1000</f>
        <v>238.40013539999998</v>
      </c>
      <c r="BD7" s="59"/>
      <c r="BE7" s="60">
        <f>0.5493868501*1000</f>
        <v>549.38685009999995</v>
      </c>
      <c r="BF7" s="59"/>
      <c r="BG7" s="60">
        <f>0.5109525436*1000</f>
        <v>510.95254359999996</v>
      </c>
      <c r="BH7" s="59"/>
      <c r="BI7" s="60"/>
      <c r="BJ7" s="59"/>
      <c r="BK7" s="61"/>
      <c r="BL7" s="59"/>
      <c r="BM7" s="59"/>
      <c r="BN7" s="59"/>
      <c r="BO7" s="59"/>
      <c r="BP7" s="59"/>
      <c r="BQ7" s="60">
        <f>0.0007374*1000</f>
        <v>0.73740000000000006</v>
      </c>
      <c r="BR7" s="59"/>
      <c r="BS7" s="59"/>
      <c r="BT7" s="59"/>
      <c r="BU7" s="62"/>
      <c r="BV7" s="59"/>
      <c r="BW7" s="59"/>
      <c r="BX7" s="59"/>
      <c r="BY7" s="59">
        <f>0.00049*1000</f>
        <v>0.49</v>
      </c>
      <c r="BZ7" s="59"/>
      <c r="CA7" s="63">
        <f>0.000245*1000</f>
        <v>0.245</v>
      </c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 t="s">
        <v>131</v>
      </c>
    </row>
    <row r="8" spans="1:103" s="55" customFormat="1" ht="25.5" x14ac:dyDescent="0.25">
      <c r="A8" s="41">
        <v>2</v>
      </c>
      <c r="B8" s="41">
        <v>2</v>
      </c>
      <c r="C8" s="53" t="s">
        <v>64</v>
      </c>
      <c r="D8" s="54" t="s">
        <v>68</v>
      </c>
      <c r="E8" s="59">
        <f>0.193554504*1000</f>
        <v>193.55450399999998</v>
      </c>
      <c r="F8" s="59"/>
      <c r="G8" s="59">
        <f>0.24065030925*1000</f>
        <v>240.65030924999999</v>
      </c>
      <c r="H8" s="59"/>
      <c r="I8" s="59">
        <f>0.09351264*1000</f>
        <v>93.51263999999999</v>
      </c>
      <c r="J8" s="59"/>
      <c r="K8" s="60">
        <f>0.09723874875*1000</f>
        <v>97.238748750000013</v>
      </c>
      <c r="L8" s="59"/>
      <c r="M8" s="60">
        <f>0.095846322*1000</f>
        <v>95.846322000000001</v>
      </c>
      <c r="N8" s="59"/>
      <c r="O8" s="60" t="s">
        <v>130</v>
      </c>
      <c r="P8" s="59"/>
      <c r="Q8" s="60">
        <f>0.005969496*1000</f>
        <v>5.9694960000000004</v>
      </c>
      <c r="R8" s="59"/>
      <c r="S8" s="60">
        <f>0.0063873849*1000</f>
        <v>6.3873848999999998</v>
      </c>
      <c r="T8" s="59"/>
      <c r="U8" s="60">
        <f>0.14929486*1000</f>
        <v>149.29486</v>
      </c>
      <c r="V8" s="59"/>
      <c r="W8" s="60">
        <f>0.11063377*1000</f>
        <v>110.63377000000001</v>
      </c>
      <c r="X8" s="59"/>
      <c r="Y8" s="60">
        <f>0.15473276*1000</f>
        <v>154.73275999999998</v>
      </c>
      <c r="Z8" s="59"/>
      <c r="AA8" s="60">
        <f>0.077577318*1000</f>
        <v>77.577318000000005</v>
      </c>
      <c r="AB8" s="59"/>
      <c r="AC8" s="60">
        <f>0.152633624*1000</f>
        <v>152.633624</v>
      </c>
      <c r="AD8" s="64"/>
      <c r="AE8" s="59">
        <f>0.14922622*1000</f>
        <v>149.22621999999998</v>
      </c>
      <c r="AF8" s="61"/>
      <c r="AG8" s="59">
        <f>0.14910116*1000</f>
        <v>149.10116000000002</v>
      </c>
      <c r="AH8" s="59"/>
      <c r="AI8" s="59">
        <f>0.13868114*1000</f>
        <v>138.68114</v>
      </c>
      <c r="AJ8" s="59"/>
      <c r="AK8" s="59">
        <f>0.029927989*1000</f>
        <v>29.927989</v>
      </c>
      <c r="AL8" s="59"/>
      <c r="AM8" s="59">
        <f>0.1029848625*1000</f>
        <v>102.98486249999999</v>
      </c>
      <c r="AN8" s="59"/>
      <c r="AO8" s="59">
        <f>0.1019007275*1000</f>
        <v>101.9007275</v>
      </c>
      <c r="AP8" s="59"/>
      <c r="AQ8" s="59">
        <f>0.10277553*1000</f>
        <v>102.77553</v>
      </c>
      <c r="AR8" s="59"/>
      <c r="AS8" s="59">
        <f>0.014846835575*1000</f>
        <v>14.846835575</v>
      </c>
      <c r="AT8" s="59"/>
      <c r="AU8" s="59">
        <f>0.11142537575*1000</f>
        <v>111.42537575</v>
      </c>
      <c r="AV8" s="59"/>
      <c r="AW8" s="60">
        <f>0.01255329725*1000</f>
        <v>12.55329725</v>
      </c>
      <c r="AX8" s="59"/>
      <c r="AY8" s="60">
        <f>0.01320865*1000</f>
        <v>13.20865</v>
      </c>
      <c r="AZ8" s="59"/>
      <c r="BA8" s="60">
        <f>0.1310922145*1000</f>
        <v>131.09221450000001</v>
      </c>
      <c r="BB8" s="59"/>
      <c r="BC8" s="60">
        <f>0.0961369305*1000</f>
        <v>96.136930499999991</v>
      </c>
      <c r="BD8" s="59"/>
      <c r="BE8" s="60">
        <f>0.2274531545*1000</f>
        <v>227.45315450000001</v>
      </c>
      <c r="BF8" s="59"/>
      <c r="BG8" s="60">
        <f>0.211540862*1000</f>
        <v>211.540862</v>
      </c>
      <c r="BH8" s="59"/>
      <c r="BI8" s="60"/>
      <c r="BJ8" s="59"/>
      <c r="BK8" s="61"/>
      <c r="BL8" s="59"/>
      <c r="BM8" s="59"/>
      <c r="BN8" s="59"/>
      <c r="BO8" s="59"/>
      <c r="BP8" s="59"/>
      <c r="BQ8" s="59"/>
      <c r="BR8" s="59"/>
      <c r="BS8" s="59"/>
      <c r="BT8" s="59"/>
      <c r="BU8" s="62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 t="s">
        <v>132</v>
      </c>
    </row>
    <row r="9" spans="1:103" s="55" customFormat="1" ht="28.5" customHeight="1" x14ac:dyDescent="0.25">
      <c r="A9" s="41">
        <v>3</v>
      </c>
      <c r="B9" s="41">
        <v>2</v>
      </c>
      <c r="C9" s="56" t="s">
        <v>65</v>
      </c>
      <c r="D9" s="54" t="s">
        <v>69</v>
      </c>
      <c r="E9" s="60">
        <f>0.5538636576*1000</f>
        <v>553.86365760000001</v>
      </c>
      <c r="F9" s="59"/>
      <c r="G9" s="59">
        <f>0.6886301157*1000</f>
        <v>688.63011570000003</v>
      </c>
      <c r="H9" s="59"/>
      <c r="I9" s="59">
        <f>0.200194776*1000</f>
        <v>200.19477599999999</v>
      </c>
      <c r="J9" s="59"/>
      <c r="K9" s="60">
        <f>0.2782524195*1000</f>
        <v>278.25241950000003</v>
      </c>
      <c r="L9" s="59"/>
      <c r="M9" s="60">
        <f>0.2742679368*1000</f>
        <v>274.26793679999997</v>
      </c>
      <c r="N9" s="59"/>
      <c r="O9" s="60" t="s">
        <v>130</v>
      </c>
      <c r="P9" s="59"/>
      <c r="Q9" s="60">
        <f>0.0170819424*1000</f>
        <v>17.081942400000003</v>
      </c>
      <c r="R9" s="59"/>
      <c r="S9" s="60">
        <f>0.01827774756*1000</f>
        <v>18.277747560000002</v>
      </c>
      <c r="T9" s="59"/>
      <c r="U9" s="60">
        <f>0.427212984*1000</f>
        <v>427.21298400000001</v>
      </c>
      <c r="V9" s="59"/>
      <c r="W9" s="60">
        <f>0.316582788*1000</f>
        <v>316.58278799999999</v>
      </c>
      <c r="X9" s="59"/>
      <c r="Y9" s="60">
        <f>0.442773744*1000</f>
        <v>442.77374400000002</v>
      </c>
      <c r="Z9" s="59"/>
      <c r="AA9" s="60">
        <f>0.2219904792*1000</f>
        <v>221.99047920000001</v>
      </c>
      <c r="AB9" s="59"/>
      <c r="AC9" s="60">
        <f>0.4367669856*1000</f>
        <v>436.7669856</v>
      </c>
      <c r="AD9" s="59"/>
      <c r="AE9" s="59">
        <f>0.427016568*1000</f>
        <v>427.01656800000001</v>
      </c>
      <c r="AF9" s="61"/>
      <c r="AG9" s="59">
        <f>0.426658704*1000</f>
        <v>426.658704</v>
      </c>
      <c r="AH9" s="59"/>
      <c r="AI9" s="59">
        <f>0.396841416*1000</f>
        <v>396.84141599999998</v>
      </c>
      <c r="AJ9" s="59"/>
      <c r="AK9" s="59">
        <f>0.0856400916*1000</f>
        <v>85.640091599999991</v>
      </c>
      <c r="AL9" s="59"/>
      <c r="AM9" s="59">
        <f>0.294695145*1000</f>
        <v>294.69514499999997</v>
      </c>
      <c r="AN9" s="59"/>
      <c r="AO9" s="59">
        <f>0.291592851*1000</f>
        <v>291.592851</v>
      </c>
      <c r="AP9" s="59"/>
      <c r="AQ9" s="59">
        <f>0.294096132*1000</f>
        <v>294.09613200000001</v>
      </c>
      <c r="AR9" s="59"/>
      <c r="AS9" s="59">
        <f>0.04248479103*1000</f>
        <v>42.484791030000004</v>
      </c>
      <c r="AT9" s="59"/>
      <c r="AU9" s="59">
        <f>0.31884799837*1000</f>
        <v>318.84799836999997</v>
      </c>
      <c r="AV9" s="59"/>
      <c r="AW9" s="60">
        <f>0.0359217429*1000</f>
        <v>35.921742899999998</v>
      </c>
      <c r="AX9" s="59"/>
      <c r="AY9" s="60">
        <f>0.03779706*1000</f>
        <v>37.797060000000002</v>
      </c>
      <c r="AZ9" s="59"/>
      <c r="BA9" s="60">
        <f>0.3751254138*1000</f>
        <v>375.12541379999999</v>
      </c>
      <c r="BB9" s="59"/>
      <c r="BC9" s="60">
        <f>0.3640759722*1000</f>
        <v>364.07597219999997</v>
      </c>
      <c r="BD9" s="59"/>
      <c r="BE9" s="60">
        <f>0.6508659498*1000</f>
        <v>650.86594979999995</v>
      </c>
      <c r="BF9" s="59"/>
      <c r="BG9" s="60">
        <f>0.6053323128*1000</f>
        <v>605.33231279999995</v>
      </c>
      <c r="BH9" s="59"/>
      <c r="BI9" s="60"/>
      <c r="BJ9" s="59"/>
      <c r="BK9" s="61"/>
      <c r="BL9" s="59"/>
      <c r="BM9" s="59"/>
      <c r="BN9" s="59"/>
      <c r="BO9" s="59"/>
      <c r="BP9" s="59"/>
      <c r="BQ9" s="59"/>
      <c r="BR9" s="59"/>
      <c r="BS9" s="59"/>
      <c r="BT9" s="59"/>
      <c r="BU9" s="62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 t="s">
        <v>132</v>
      </c>
    </row>
    <row r="10" spans="1:103" s="55" customFormat="1" ht="19.5" customHeight="1" x14ac:dyDescent="0.25">
      <c r="A10" s="41">
        <v>4</v>
      </c>
      <c r="B10" s="41">
        <v>1</v>
      </c>
      <c r="C10" s="53"/>
      <c r="D10" s="54" t="s">
        <v>70</v>
      </c>
      <c r="E10" s="60">
        <f>1.1851491168*1000</f>
        <v>1185.1491168</v>
      </c>
      <c r="F10" s="59"/>
      <c r="G10" s="59">
        <f>1.4735203551*1000</f>
        <v>1473.5203551</v>
      </c>
      <c r="H10" s="59"/>
      <c r="I10" s="59">
        <f>0.572585088*1000</f>
        <v>572.58508799999993</v>
      </c>
      <c r="J10" s="59"/>
      <c r="K10" s="60">
        <f>0.5954003385*1000</f>
        <v>595.40033849999998</v>
      </c>
      <c r="L10" s="59"/>
      <c r="M10" s="60">
        <f>0.5868744024*1000</f>
        <v>586.87440240000001</v>
      </c>
      <c r="N10" s="59"/>
      <c r="O10" s="60" t="s">
        <v>130</v>
      </c>
      <c r="P10" s="59"/>
      <c r="Q10" s="60">
        <f>0.0365516832*1000</f>
        <v>36.551683199999999</v>
      </c>
      <c r="R10" s="59"/>
      <c r="S10" s="60">
        <f>0.03911044908*1000</f>
        <v>39.110449079999995</v>
      </c>
      <c r="T10" s="59"/>
      <c r="U10" s="60">
        <f>0.914143912*1000</f>
        <v>914.143912</v>
      </c>
      <c r="V10" s="59"/>
      <c r="W10" s="60">
        <f>0.677419084*1000</f>
        <v>677.419084</v>
      </c>
      <c r="X10" s="59"/>
      <c r="Y10" s="60">
        <f>0.947440592*1000</f>
        <v>947.44059199999992</v>
      </c>
      <c r="Z10" s="59"/>
      <c r="AA10" s="60">
        <f>0.4750118856*1000</f>
        <v>475.01188560000003</v>
      </c>
      <c r="AB10" s="59"/>
      <c r="AC10" s="59">
        <f>0.9345874208*1000</f>
        <v>934.58742080000002</v>
      </c>
      <c r="AD10" s="59"/>
      <c r="AE10" s="59">
        <f>0.913723624*1000</f>
        <v>913.72362399999997</v>
      </c>
      <c r="AF10" s="61"/>
      <c r="AG10" s="59">
        <f>0.912957872*1000</f>
        <v>912.95787199999995</v>
      </c>
      <c r="AH10" s="59"/>
      <c r="AI10" s="59">
        <f>0.849155288*1000</f>
        <v>849.15528799999993</v>
      </c>
      <c r="AJ10" s="59"/>
      <c r="AK10" s="59">
        <f>0.1832513788*1000</f>
        <v>183.2513788</v>
      </c>
      <c r="AL10" s="59"/>
      <c r="AM10" s="59">
        <f>0.630584235*1000</f>
        <v>630.58423500000004</v>
      </c>
      <c r="AN10" s="59"/>
      <c r="AO10" s="59">
        <f>0.623945993*1000</f>
        <v>623.94599299999993</v>
      </c>
      <c r="AP10" s="59"/>
      <c r="AQ10" s="59">
        <f>0.629302476*1000</f>
        <v>629.30247599999996</v>
      </c>
      <c r="AR10" s="59"/>
      <c r="AS10" s="59">
        <f>0.09090831629*1000</f>
        <v>90.908316290000002</v>
      </c>
      <c r="AT10" s="59"/>
      <c r="AU10" s="59">
        <f>0.6822661469*1000</f>
        <v>682.26614689999997</v>
      </c>
      <c r="AV10" s="59"/>
      <c r="AW10" s="60">
        <f>0.0768648047*1000</f>
        <v>76.864804699999993</v>
      </c>
      <c r="AX10" s="59"/>
      <c r="AY10" s="60">
        <f>0.08087758*1000</f>
        <v>80.877580000000009</v>
      </c>
      <c r="AZ10" s="59"/>
      <c r="BA10" s="60">
        <f>0.8026877134*1000</f>
        <v>802.68771340000001</v>
      </c>
      <c r="BB10" s="59"/>
      <c r="BC10" s="60">
        <f>0.7790442846*1000</f>
        <v>779.04428459999997</v>
      </c>
      <c r="BD10" s="59"/>
      <c r="BE10" s="60">
        <f>1.3927131614*1000</f>
        <v>1392.7131614</v>
      </c>
      <c r="BF10" s="59"/>
      <c r="BG10" s="60">
        <f>1.2952809704*1000</f>
        <v>1295.2809703999999</v>
      </c>
      <c r="BH10" s="59"/>
      <c r="BI10" s="60"/>
      <c r="BJ10" s="59"/>
      <c r="BK10" s="65">
        <v>0.30452400000000002</v>
      </c>
      <c r="BL10" s="59"/>
      <c r="BM10" s="59"/>
      <c r="BN10" s="59"/>
      <c r="BO10" s="59"/>
      <c r="BP10" s="59"/>
      <c r="BQ10" s="59"/>
      <c r="BR10" s="59"/>
      <c r="BS10" s="59"/>
      <c r="BT10" s="59"/>
      <c r="BU10" s="62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 t="s">
        <v>132</v>
      </c>
    </row>
    <row r="11" spans="1:103" s="55" customFormat="1" ht="25.5" x14ac:dyDescent="0.25">
      <c r="A11" s="41">
        <v>5</v>
      </c>
      <c r="B11" s="41">
        <v>2</v>
      </c>
      <c r="C11" s="56" t="s">
        <v>66</v>
      </c>
      <c r="D11" s="54" t="s">
        <v>71</v>
      </c>
      <c r="E11" s="60">
        <f>0.01667546496*1000</f>
        <v>16.675464959999999</v>
      </c>
      <c r="F11" s="59"/>
      <c r="G11" s="59">
        <f>0.02073294972*1000</f>
        <v>20.732949720000001</v>
      </c>
      <c r="H11" s="59"/>
      <c r="I11" s="59">
        <f>0.0080564736*1000</f>
        <v>8.0564736000000003</v>
      </c>
      <c r="J11" s="59"/>
      <c r="K11" s="60">
        <f>0.0083774922*1000</f>
        <v>8.3774921999999989</v>
      </c>
      <c r="L11" s="59"/>
      <c r="M11" s="60">
        <f>0.00825752928*1000</f>
        <v>8.25752928</v>
      </c>
      <c r="N11" s="59"/>
      <c r="O11" s="60" t="s">
        <v>130</v>
      </c>
      <c r="P11" s="59"/>
      <c r="Q11" s="60">
        <f>0.00051429504*1000</f>
        <v>0.51429503999999993</v>
      </c>
      <c r="R11" s="59"/>
      <c r="S11" s="60">
        <f>0.000550297776*1000</f>
        <v>0.55029777599999996</v>
      </c>
      <c r="T11" s="59"/>
      <c r="U11" s="60">
        <f>0.0128623264*1000</f>
        <v>12.862326400000001</v>
      </c>
      <c r="V11" s="59"/>
      <c r="W11" s="60">
        <f>0.0095315248*1000</f>
        <v>9.5315247999999997</v>
      </c>
      <c r="X11" s="59"/>
      <c r="Y11" s="60">
        <f>0.0133308224*1000</f>
        <v>13.330822399999999</v>
      </c>
      <c r="Z11" s="59"/>
      <c r="AA11" s="60">
        <f>0.00668358432*1000</f>
        <v>6.6835843199999996</v>
      </c>
      <c r="AB11" s="59"/>
      <c r="AC11" s="59">
        <f>0.01314997376*1000</f>
        <v>13.14997376</v>
      </c>
      <c r="AD11" s="59"/>
      <c r="AE11" s="59">
        <f>0.0128564128*1000</f>
        <v>12.856412799999999</v>
      </c>
      <c r="AF11" s="61"/>
      <c r="AG11" s="59">
        <f>0.0128456384*1000</f>
        <v>12.8456384</v>
      </c>
      <c r="AH11" s="59"/>
      <c r="AI11" s="59">
        <f>0.0119479136*1000</f>
        <v>11.9479136</v>
      </c>
      <c r="AJ11" s="59"/>
      <c r="AK11" s="59">
        <f>0.00257841136*1000</f>
        <v>2.57841136</v>
      </c>
      <c r="AL11" s="59"/>
      <c r="AM11" s="59">
        <f>0.008872542*1000</f>
        <v>8.872542000000001</v>
      </c>
      <c r="AN11" s="59"/>
      <c r="AO11" s="59">
        <f>0.0087791396*1000</f>
        <v>8.7791395999999988</v>
      </c>
      <c r="AP11" s="59"/>
      <c r="AQ11" s="59">
        <f>0.0088545072*1000</f>
        <v>8.8545072000000005</v>
      </c>
      <c r="AR11" s="59"/>
      <c r="AS11" s="59">
        <f>0.001279111988*1000</f>
        <v>1.2791119880000001</v>
      </c>
      <c r="AT11" s="59"/>
      <c r="AU11" s="59">
        <f>0.00959972468*1000</f>
        <v>9.5997246799999996</v>
      </c>
      <c r="AV11" s="59"/>
      <c r="AW11" s="60">
        <f>0.00108151484*1000</f>
        <v>1.0815148399999999</v>
      </c>
      <c r="AX11" s="59"/>
      <c r="AY11" s="60">
        <f>0.001137976*1000</f>
        <v>1.1379759999999999</v>
      </c>
      <c r="AZ11" s="59"/>
      <c r="BA11" s="60">
        <f>0.01129409848*1000</f>
        <v>11.294098480000001</v>
      </c>
      <c r="BB11" s="59"/>
      <c r="BC11" s="60">
        <f>0.01096142712*1000</f>
        <v>10.96142712</v>
      </c>
      <c r="BD11" s="59"/>
      <c r="BE11" s="60">
        <f>0.01959596408*1000</f>
        <v>19.595964080000002</v>
      </c>
      <c r="BF11" s="59"/>
      <c r="BG11" s="60">
        <f>0.01822505888*1000</f>
        <v>18.225058879999999</v>
      </c>
      <c r="BH11" s="59"/>
      <c r="BI11" s="60"/>
      <c r="BJ11" s="59"/>
      <c r="BK11" s="61"/>
      <c r="BL11" s="59"/>
      <c r="BM11" s="59"/>
      <c r="BN11" s="59"/>
      <c r="BO11" s="59"/>
      <c r="BP11" s="59"/>
      <c r="BQ11" s="59"/>
      <c r="BR11" s="59"/>
      <c r="BS11" s="59"/>
      <c r="BT11" s="59"/>
      <c r="BU11" s="62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 t="s">
        <v>132</v>
      </c>
    </row>
    <row r="12" spans="1:103" s="17" customFormat="1" ht="15.75" x14ac:dyDescent="0.25">
      <c r="A12" s="42">
        <v>6</v>
      </c>
      <c r="B12" s="42">
        <v>6</v>
      </c>
      <c r="C12" s="3"/>
      <c r="D12" s="58" t="s">
        <v>72</v>
      </c>
      <c r="E12" s="66">
        <f>27.35550471456*1000</f>
        <v>27355.50471456</v>
      </c>
      <c r="F12" s="66"/>
      <c r="G12" s="66">
        <f>34.01166355317*1000</f>
        <v>34011.663553170001</v>
      </c>
      <c r="H12" s="66"/>
      <c r="I12" s="66">
        <f>13.2163572096*1000</f>
        <v>13216.357209600001</v>
      </c>
      <c r="J12" s="66"/>
      <c r="K12" s="66">
        <f>13.74297675795*1000</f>
        <v>13742.97675795</v>
      </c>
      <c r="L12" s="66"/>
      <c r="M12" s="66">
        <f>13.54618187208*1000</f>
        <v>13546.18187208</v>
      </c>
      <c r="N12" s="66"/>
      <c r="O12" s="66"/>
      <c r="P12" s="66"/>
      <c r="Q12" s="66">
        <f>0.84368264544*1000</f>
        <v>843.6826454400001</v>
      </c>
      <c r="R12" s="66"/>
      <c r="S12" s="66">
        <f>0.902743848036*1000</f>
        <v>902.74384803600003</v>
      </c>
      <c r="T12" s="66"/>
      <c r="U12" s="66">
        <f>21.1001870904*1000</f>
        <v>21100.187090399999</v>
      </c>
      <c r="V12" s="66"/>
      <c r="W12" s="66">
        <f>15.6361260228*1000</f>
        <v>15636.126022799999</v>
      </c>
      <c r="X12" s="66"/>
      <c r="Y12" s="66">
        <f>21.8687380464*1000</f>
        <v>21868.738046400002</v>
      </c>
      <c r="Z12" s="66"/>
      <c r="AA12" s="66">
        <f>10.96418137752*1000</f>
        <v>10964.181377519999</v>
      </c>
      <c r="AB12" s="66"/>
      <c r="AC12" s="66">
        <f>21.57206231136*1000</f>
        <v>21572.062311360001</v>
      </c>
      <c r="AD12" s="66"/>
      <c r="AE12" s="66">
        <f>21.0904860408*1000</f>
        <v>21090.486040799999</v>
      </c>
      <c r="AF12" s="66"/>
      <c r="AG12" s="66">
        <f>21.0728110224*1000</f>
        <v>21072.811022400001</v>
      </c>
      <c r="AH12" s="66"/>
      <c r="AI12" s="66">
        <f>19.6001255496*1000</f>
        <v>19600.125549600001</v>
      </c>
      <c r="AJ12" s="66"/>
      <c r="AK12" s="66">
        <f>4.22979174996*1000</f>
        <v>4229.7917499600007</v>
      </c>
      <c r="AL12" s="66"/>
      <c r="AM12" s="66">
        <f>14.5550882745*1000</f>
        <v>14555.0882745</v>
      </c>
      <c r="AN12" s="66"/>
      <c r="AO12" s="66">
        <f>14.4018649731*1000</f>
        <v>14401.8649731</v>
      </c>
      <c r="AP12" s="66"/>
      <c r="AQ12" s="66">
        <f>14.5255028292*1000</f>
        <v>14525.502829200001</v>
      </c>
      <c r="AR12" s="66"/>
      <c r="AS12" s="66">
        <f>2.098337533743*1000</f>
        <v>2098.3375337429998</v>
      </c>
      <c r="AT12" s="66"/>
      <c r="AU12" s="66">
        <f>15.74800549023*1000</f>
        <v>15748.00549023</v>
      </c>
      <c r="AV12" s="66"/>
      <c r="AW12" s="66">
        <f>1.77418646949*1000</f>
        <v>1774.18646949</v>
      </c>
      <c r="AX12" s="66"/>
      <c r="AY12" s="66">
        <f>1.866808986*1000</f>
        <v>1866.808986</v>
      </c>
      <c r="AZ12" s="66"/>
      <c r="BA12" s="66">
        <f>18.52756519578*1000</f>
        <v>18527.56519578</v>
      </c>
      <c r="BB12" s="66"/>
      <c r="BC12" s="66">
        <f>17.98182971082*1000</f>
        <v>17981.829710820002</v>
      </c>
      <c r="BD12" s="66"/>
      <c r="BE12" s="66">
        <f>32.14647921738*1000</f>
        <v>32146.479217379998</v>
      </c>
      <c r="BF12" s="66"/>
      <c r="BG12" s="66">
        <f>29.89755819768*1000</f>
        <v>29897.558197679999</v>
      </c>
      <c r="BH12" s="66"/>
      <c r="BI12" s="60"/>
      <c r="BJ12" s="66"/>
      <c r="BK12" s="66"/>
      <c r="BL12" s="66"/>
      <c r="BM12" s="65">
        <f>0.16*1000</f>
        <v>160</v>
      </c>
      <c r="BN12" s="66"/>
      <c r="BO12" s="66"/>
      <c r="BP12" s="66"/>
      <c r="BQ12" s="66"/>
      <c r="BR12" s="66"/>
      <c r="BS12" s="66"/>
      <c r="BT12" s="66"/>
      <c r="BU12" s="67">
        <f>0.020000304*1000</f>
        <v>20.000304</v>
      </c>
      <c r="BV12" s="66"/>
      <c r="BW12" s="66">
        <f>0.0008856*1000</f>
        <v>0.88559999999999994</v>
      </c>
      <c r="BX12" s="66"/>
      <c r="BY12" s="65">
        <f>0.0010368*1000</f>
        <v>1.0367999999999999</v>
      </c>
      <c r="BZ12" s="66"/>
      <c r="CA12" s="66">
        <f>0.00020016*1000</f>
        <v>0.20016</v>
      </c>
      <c r="CB12" s="66"/>
      <c r="CC12" s="66">
        <f>0.002435328*1000</f>
        <v>2.4353280000000002</v>
      </c>
      <c r="CD12" s="66"/>
      <c r="CE12" s="66"/>
      <c r="CF12" s="66"/>
      <c r="CG12" s="66"/>
      <c r="CH12" s="66"/>
      <c r="CI12" s="66"/>
      <c r="CJ12" s="66"/>
      <c r="CK12" s="65">
        <f>0.00113472*1000</f>
        <v>1.1347200000000002</v>
      </c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5" t="s">
        <v>133</v>
      </c>
    </row>
    <row r="13" spans="1:103" s="17" customFormat="1" x14ac:dyDescent="0.25">
      <c r="BU13" s="57"/>
    </row>
    <row r="14" spans="1:103" s="17" customFormat="1" x14ac:dyDescent="0.25">
      <c r="BU14" s="57"/>
    </row>
    <row r="15" spans="1:103" s="17" customFormat="1" x14ac:dyDescent="0.25">
      <c r="BU15" s="57"/>
    </row>
    <row r="16" spans="1:103" s="17" customFormat="1" x14ac:dyDescent="0.25">
      <c r="BU16" s="57"/>
    </row>
    <row r="17" spans="73:73" s="17" customFormat="1" x14ac:dyDescent="0.25">
      <c r="BU17" s="57"/>
    </row>
    <row r="18" spans="73:73" s="17" customFormat="1" x14ac:dyDescent="0.25">
      <c r="BU18" s="57"/>
    </row>
    <row r="19" spans="73:73" s="17" customFormat="1" x14ac:dyDescent="0.25">
      <c r="BU19" s="57"/>
    </row>
    <row r="20" spans="73:73" s="17" customFormat="1" x14ac:dyDescent="0.25">
      <c r="BU20" s="57"/>
    </row>
    <row r="21" spans="73:73" s="17" customFormat="1" x14ac:dyDescent="0.25">
      <c r="BU21" s="57"/>
    </row>
    <row r="22" spans="73:73" s="17" customFormat="1" x14ac:dyDescent="0.25">
      <c r="BU22" s="57"/>
    </row>
    <row r="23" spans="73:73" s="17" customFormat="1" x14ac:dyDescent="0.25">
      <c r="BU23" s="57"/>
    </row>
    <row r="24" spans="73:73" s="17" customFormat="1" x14ac:dyDescent="0.25">
      <c r="BU24" s="57"/>
    </row>
    <row r="25" spans="73:73" s="17" customFormat="1" x14ac:dyDescent="0.25">
      <c r="BU25" s="57"/>
    </row>
    <row r="26" spans="73:73" s="17" customFormat="1" x14ac:dyDescent="0.25">
      <c r="BU26" s="57"/>
    </row>
    <row r="27" spans="73:73" s="17" customFormat="1" x14ac:dyDescent="0.25">
      <c r="BU27" s="57"/>
    </row>
    <row r="28" spans="73:73" s="17" customFormat="1" x14ac:dyDescent="0.25">
      <c r="BU28" s="57"/>
    </row>
    <row r="29" spans="73:73" s="17" customFormat="1" x14ac:dyDescent="0.25">
      <c r="BU29" s="57"/>
    </row>
    <row r="30" spans="73:73" s="17" customFormat="1" x14ac:dyDescent="0.25">
      <c r="BU30" s="57"/>
    </row>
    <row r="31" spans="73:73" s="17" customFormat="1" x14ac:dyDescent="0.25">
      <c r="BU31" s="57"/>
    </row>
    <row r="32" spans="73:73" s="17" customFormat="1" x14ac:dyDescent="0.25">
      <c r="BU32" s="57"/>
    </row>
    <row r="33" spans="73:73" s="17" customFormat="1" x14ac:dyDescent="0.25">
      <c r="BU33" s="57"/>
    </row>
    <row r="34" spans="73:73" s="17" customFormat="1" x14ac:dyDescent="0.25">
      <c r="BU34" s="57"/>
    </row>
    <row r="35" spans="73:73" s="17" customFormat="1" x14ac:dyDescent="0.25">
      <c r="BU35" s="57"/>
    </row>
    <row r="36" spans="73:73" s="17" customFormat="1" x14ac:dyDescent="0.25">
      <c r="BU36" s="57"/>
    </row>
    <row r="37" spans="73:73" s="17" customFormat="1" x14ac:dyDescent="0.25">
      <c r="BU37" s="57"/>
    </row>
    <row r="38" spans="73:73" s="17" customFormat="1" x14ac:dyDescent="0.25">
      <c r="BU38" s="57"/>
    </row>
    <row r="39" spans="73:73" s="17" customFormat="1" x14ac:dyDescent="0.25">
      <c r="BU39" s="57"/>
    </row>
    <row r="40" spans="73:73" s="17" customFormat="1" x14ac:dyDescent="0.25">
      <c r="BU40" s="57"/>
    </row>
    <row r="41" spans="73:73" s="17" customFormat="1" x14ac:dyDescent="0.25">
      <c r="BU41" s="57"/>
    </row>
    <row r="42" spans="73:73" s="17" customFormat="1" x14ac:dyDescent="0.25">
      <c r="BU42" s="57"/>
    </row>
    <row r="43" spans="73:73" s="17" customFormat="1" x14ac:dyDescent="0.25">
      <c r="BU43" s="57"/>
    </row>
    <row r="44" spans="73:73" s="17" customFormat="1" x14ac:dyDescent="0.25">
      <c r="BU44" s="57"/>
    </row>
    <row r="45" spans="73:73" s="17" customFormat="1" x14ac:dyDescent="0.25">
      <c r="BU45" s="57"/>
    </row>
    <row r="46" spans="73:73" s="17" customFormat="1" x14ac:dyDescent="0.25">
      <c r="BU46" s="57"/>
    </row>
    <row r="47" spans="73:73" s="17" customFormat="1" x14ac:dyDescent="0.25">
      <c r="BU47" s="57"/>
    </row>
    <row r="48" spans="73:73" s="17" customFormat="1" x14ac:dyDescent="0.25">
      <c r="BU48" s="57"/>
    </row>
    <row r="49" spans="73:73" s="17" customFormat="1" x14ac:dyDescent="0.25">
      <c r="BU49" s="57"/>
    </row>
    <row r="50" spans="73:73" s="17" customFormat="1" x14ac:dyDescent="0.25">
      <c r="BU50" s="57"/>
    </row>
    <row r="51" spans="73:73" s="17" customFormat="1" x14ac:dyDescent="0.25">
      <c r="BU51" s="57"/>
    </row>
    <row r="52" spans="73:73" s="17" customFormat="1" x14ac:dyDescent="0.25">
      <c r="BU52" s="57"/>
    </row>
    <row r="53" spans="73:73" s="17" customFormat="1" x14ac:dyDescent="0.25">
      <c r="BU53" s="57"/>
    </row>
    <row r="54" spans="73:73" s="17" customFormat="1" x14ac:dyDescent="0.25">
      <c r="BU54" s="57"/>
    </row>
    <row r="55" spans="73:73" s="17" customFormat="1" x14ac:dyDescent="0.25">
      <c r="BU55" s="57"/>
    </row>
    <row r="56" spans="73:73" s="17" customFormat="1" x14ac:dyDescent="0.25">
      <c r="BU56" s="57"/>
    </row>
    <row r="57" spans="73:73" s="17" customFormat="1" x14ac:dyDescent="0.25">
      <c r="BU57" s="57"/>
    </row>
    <row r="58" spans="73:73" s="17" customFormat="1" x14ac:dyDescent="0.25">
      <c r="BU58" s="57"/>
    </row>
    <row r="59" spans="73:73" s="17" customFormat="1" x14ac:dyDescent="0.25">
      <c r="BU59" s="57"/>
    </row>
    <row r="60" spans="73:73" s="17" customFormat="1" x14ac:dyDescent="0.25">
      <c r="BU60" s="57"/>
    </row>
    <row r="61" spans="73:73" s="17" customFormat="1" x14ac:dyDescent="0.25">
      <c r="BU61" s="57"/>
    </row>
    <row r="62" spans="73:73" s="17" customFormat="1" x14ac:dyDescent="0.25">
      <c r="BU62" s="57"/>
    </row>
    <row r="63" spans="73:73" s="17" customFormat="1" x14ac:dyDescent="0.25">
      <c r="BU63" s="57"/>
    </row>
    <row r="64" spans="73:73" s="17" customFormat="1" x14ac:dyDescent="0.25">
      <c r="BU64" s="57"/>
    </row>
    <row r="65" spans="73:73" s="17" customFormat="1" x14ac:dyDescent="0.25">
      <c r="BU65" s="57"/>
    </row>
    <row r="66" spans="73:73" s="17" customFormat="1" x14ac:dyDescent="0.25">
      <c r="BU66" s="57"/>
    </row>
    <row r="67" spans="73:73" s="17" customFormat="1" x14ac:dyDescent="0.25">
      <c r="BU67" s="57"/>
    </row>
    <row r="68" spans="73:73" s="17" customFormat="1" x14ac:dyDescent="0.25">
      <c r="BU68" s="57"/>
    </row>
    <row r="69" spans="73:73" s="17" customFormat="1" x14ac:dyDescent="0.25">
      <c r="BU69" s="57"/>
    </row>
    <row r="70" spans="73:73" s="17" customFormat="1" x14ac:dyDescent="0.25">
      <c r="BU70" s="57"/>
    </row>
    <row r="71" spans="73:73" s="17" customFormat="1" x14ac:dyDescent="0.25">
      <c r="BU71" s="57"/>
    </row>
    <row r="72" spans="73:73" s="17" customFormat="1" x14ac:dyDescent="0.25">
      <c r="BU72" s="57"/>
    </row>
    <row r="73" spans="73:73" s="17" customFormat="1" x14ac:dyDescent="0.25">
      <c r="BU73" s="57"/>
    </row>
    <row r="74" spans="73:73" s="17" customFormat="1" x14ac:dyDescent="0.25">
      <c r="BU74" s="57"/>
    </row>
    <row r="75" spans="73:73" s="17" customFormat="1" x14ac:dyDescent="0.25">
      <c r="BU75" s="57"/>
    </row>
    <row r="76" spans="73:73" s="17" customFormat="1" x14ac:dyDescent="0.25">
      <c r="BU76" s="57"/>
    </row>
    <row r="77" spans="73:73" s="17" customFormat="1" x14ac:dyDescent="0.25">
      <c r="BU77" s="57"/>
    </row>
    <row r="78" spans="73:73" s="17" customFormat="1" x14ac:dyDescent="0.25">
      <c r="BU78" s="57"/>
    </row>
    <row r="79" spans="73:73" s="17" customFormat="1" x14ac:dyDescent="0.25">
      <c r="BU79" s="57"/>
    </row>
    <row r="80" spans="73:73" s="17" customFormat="1" x14ac:dyDescent="0.25">
      <c r="BU80" s="57"/>
    </row>
    <row r="81" spans="73:73" s="17" customFormat="1" x14ac:dyDescent="0.25">
      <c r="BU81" s="57"/>
    </row>
    <row r="82" spans="73:73" s="17" customFormat="1" x14ac:dyDescent="0.25">
      <c r="BU82" s="57"/>
    </row>
    <row r="83" spans="73:73" s="17" customFormat="1" x14ac:dyDescent="0.25">
      <c r="BU83" s="57"/>
    </row>
    <row r="84" spans="73:73" s="17" customFormat="1" x14ac:dyDescent="0.25">
      <c r="BU84" s="57"/>
    </row>
    <row r="85" spans="73:73" s="17" customFormat="1" x14ac:dyDescent="0.25">
      <c r="BU85" s="57"/>
    </row>
    <row r="86" spans="73:73" s="17" customFormat="1" x14ac:dyDescent="0.25">
      <c r="BU86" s="57"/>
    </row>
    <row r="87" spans="73:73" s="17" customFormat="1" x14ac:dyDescent="0.25">
      <c r="BU87" s="57"/>
    </row>
    <row r="88" spans="73:73" s="17" customFormat="1" x14ac:dyDescent="0.25">
      <c r="BU88" s="57"/>
    </row>
    <row r="89" spans="73:73" s="17" customFormat="1" x14ac:dyDescent="0.25">
      <c r="BU89" s="57"/>
    </row>
    <row r="90" spans="73:73" s="17" customFormat="1" x14ac:dyDescent="0.25">
      <c r="BU90" s="57"/>
    </row>
    <row r="91" spans="73:73" s="17" customFormat="1" x14ac:dyDescent="0.25">
      <c r="BU91" s="57"/>
    </row>
    <row r="92" spans="73:73" s="17" customFormat="1" x14ac:dyDescent="0.25">
      <c r="BU92" s="57"/>
    </row>
    <row r="93" spans="73:73" s="17" customFormat="1" x14ac:dyDescent="0.25">
      <c r="BU93" s="57"/>
    </row>
    <row r="94" spans="73:73" s="17" customFormat="1" x14ac:dyDescent="0.25">
      <c r="BU94" s="57"/>
    </row>
    <row r="95" spans="73:73" s="17" customFormat="1" x14ac:dyDescent="0.25">
      <c r="BU95" s="57"/>
    </row>
    <row r="96" spans="73:73" s="17" customFormat="1" x14ac:dyDescent="0.25">
      <c r="BU96" s="57"/>
    </row>
    <row r="97" spans="73:73" s="17" customFormat="1" x14ac:dyDescent="0.25">
      <c r="BU97" s="57"/>
    </row>
    <row r="98" spans="73:73" s="17" customFormat="1" x14ac:dyDescent="0.25">
      <c r="BU98" s="57"/>
    </row>
    <row r="99" spans="73:73" s="17" customFormat="1" x14ac:dyDescent="0.25">
      <c r="BU99" s="57"/>
    </row>
    <row r="100" spans="73:73" s="17" customFormat="1" x14ac:dyDescent="0.25">
      <c r="BU100" s="57"/>
    </row>
    <row r="101" spans="73:73" s="17" customFormat="1" x14ac:dyDescent="0.25">
      <c r="BU101" s="57"/>
    </row>
    <row r="102" spans="73:73" s="17" customFormat="1" x14ac:dyDescent="0.25">
      <c r="BU102" s="57"/>
    </row>
    <row r="103" spans="73:73" s="17" customFormat="1" x14ac:dyDescent="0.25">
      <c r="BU103" s="57"/>
    </row>
    <row r="104" spans="73:73" s="17" customFormat="1" x14ac:dyDescent="0.25">
      <c r="BU104" s="57"/>
    </row>
    <row r="105" spans="73:73" s="17" customFormat="1" x14ac:dyDescent="0.25">
      <c r="BU105" s="57"/>
    </row>
    <row r="106" spans="73:73" s="17" customFormat="1" x14ac:dyDescent="0.25">
      <c r="BU106" s="57"/>
    </row>
    <row r="107" spans="73:73" s="17" customFormat="1" x14ac:dyDescent="0.25">
      <c r="BU107" s="57"/>
    </row>
    <row r="108" spans="73:73" s="17" customFormat="1" x14ac:dyDescent="0.25">
      <c r="BU108" s="57"/>
    </row>
    <row r="109" spans="73:73" s="17" customFormat="1" x14ac:dyDescent="0.25">
      <c r="BU109" s="57"/>
    </row>
    <row r="110" spans="73:73" s="17" customFormat="1" x14ac:dyDescent="0.25">
      <c r="BU110" s="57"/>
    </row>
    <row r="111" spans="73:73" s="17" customFormat="1" x14ac:dyDescent="0.25">
      <c r="BU111" s="57"/>
    </row>
    <row r="112" spans="73:73" s="17" customFormat="1" x14ac:dyDescent="0.25">
      <c r="BU112" s="57"/>
    </row>
    <row r="113" spans="73:73" s="17" customFormat="1" x14ac:dyDescent="0.25">
      <c r="BU113" s="57"/>
    </row>
    <row r="114" spans="73:73" s="17" customFormat="1" x14ac:dyDescent="0.25">
      <c r="BU114" s="57"/>
    </row>
    <row r="115" spans="73:73" s="17" customFormat="1" x14ac:dyDescent="0.25">
      <c r="BU115" s="57"/>
    </row>
    <row r="116" spans="73:73" s="17" customFormat="1" x14ac:dyDescent="0.25">
      <c r="BU116" s="57"/>
    </row>
    <row r="117" spans="73:73" s="17" customFormat="1" x14ac:dyDescent="0.25">
      <c r="BU117" s="57"/>
    </row>
    <row r="118" spans="73:73" s="17" customFormat="1" x14ac:dyDescent="0.25">
      <c r="BU118" s="57"/>
    </row>
    <row r="119" spans="73:73" s="17" customFormat="1" x14ac:dyDescent="0.25">
      <c r="BU119" s="57"/>
    </row>
    <row r="120" spans="73:73" s="17" customFormat="1" x14ac:dyDescent="0.25">
      <c r="BU120" s="57"/>
    </row>
    <row r="121" spans="73:73" s="17" customFormat="1" x14ac:dyDescent="0.25">
      <c r="BU121" s="57"/>
    </row>
    <row r="122" spans="73:73" s="17" customFormat="1" x14ac:dyDescent="0.25">
      <c r="BU122" s="57"/>
    </row>
    <row r="123" spans="73:73" s="17" customFormat="1" x14ac:dyDescent="0.25">
      <c r="BU123" s="57"/>
    </row>
    <row r="124" spans="73:73" s="17" customFormat="1" x14ac:dyDescent="0.25">
      <c r="BU124" s="57"/>
    </row>
    <row r="125" spans="73:73" s="17" customFormat="1" x14ac:dyDescent="0.25">
      <c r="BU125" s="57"/>
    </row>
    <row r="126" spans="73:73" s="17" customFormat="1" x14ac:dyDescent="0.25">
      <c r="BU126" s="57"/>
    </row>
    <row r="127" spans="73:73" s="17" customFormat="1" x14ac:dyDescent="0.25">
      <c r="BU127" s="57"/>
    </row>
    <row r="128" spans="73:73" s="17" customFormat="1" x14ac:dyDescent="0.25">
      <c r="BU128" s="57"/>
    </row>
    <row r="129" spans="73:73" s="17" customFormat="1" x14ac:dyDescent="0.25">
      <c r="BU129" s="57"/>
    </row>
    <row r="130" spans="73:73" s="17" customFormat="1" x14ac:dyDescent="0.25">
      <c r="BU130" s="57"/>
    </row>
    <row r="131" spans="73:73" s="17" customFormat="1" x14ac:dyDescent="0.25">
      <c r="BU131" s="57"/>
    </row>
    <row r="132" spans="73:73" s="17" customFormat="1" x14ac:dyDescent="0.25">
      <c r="BU132" s="57"/>
    </row>
    <row r="133" spans="73:73" s="17" customFormat="1" x14ac:dyDescent="0.25">
      <c r="BU133" s="57"/>
    </row>
    <row r="134" spans="73:73" s="17" customFormat="1" x14ac:dyDescent="0.25">
      <c r="BU134" s="57"/>
    </row>
    <row r="135" spans="73:73" s="17" customFormat="1" x14ac:dyDescent="0.25">
      <c r="BU135" s="57"/>
    </row>
    <row r="136" spans="73:73" s="17" customFormat="1" x14ac:dyDescent="0.25">
      <c r="BU136" s="57"/>
    </row>
    <row r="137" spans="73:73" s="17" customFormat="1" x14ac:dyDescent="0.25">
      <c r="BU137" s="57"/>
    </row>
    <row r="138" spans="73:73" s="17" customFormat="1" x14ac:dyDescent="0.25">
      <c r="BU138" s="57"/>
    </row>
    <row r="139" spans="73:73" s="17" customFormat="1" x14ac:dyDescent="0.25">
      <c r="BU139" s="57"/>
    </row>
    <row r="140" spans="73:73" s="17" customFormat="1" x14ac:dyDescent="0.25">
      <c r="BU140" s="57"/>
    </row>
    <row r="141" spans="73:73" s="17" customFormat="1" x14ac:dyDescent="0.25">
      <c r="BU141" s="57"/>
    </row>
    <row r="142" spans="73:73" s="17" customFormat="1" x14ac:dyDescent="0.25">
      <c r="BU142" s="57"/>
    </row>
    <row r="143" spans="73:73" s="17" customFormat="1" x14ac:dyDescent="0.25">
      <c r="BU143" s="57"/>
    </row>
    <row r="144" spans="73:73" s="17" customFormat="1" x14ac:dyDescent="0.25">
      <c r="BU144" s="57"/>
    </row>
    <row r="145" spans="73:73" s="17" customFormat="1" x14ac:dyDescent="0.25">
      <c r="BU145" s="57"/>
    </row>
    <row r="146" spans="73:73" s="17" customFormat="1" x14ac:dyDescent="0.25">
      <c r="BU146" s="57"/>
    </row>
    <row r="147" spans="73:73" s="17" customFormat="1" x14ac:dyDescent="0.25">
      <c r="BU147" s="57"/>
    </row>
    <row r="148" spans="73:73" s="17" customFormat="1" x14ac:dyDescent="0.25">
      <c r="BU148" s="57"/>
    </row>
    <row r="149" spans="73:73" s="17" customFormat="1" x14ac:dyDescent="0.25">
      <c r="BU149" s="57"/>
    </row>
    <row r="150" spans="73:73" s="17" customFormat="1" x14ac:dyDescent="0.25">
      <c r="BU150" s="57"/>
    </row>
    <row r="151" spans="73:73" s="17" customFormat="1" x14ac:dyDescent="0.25">
      <c r="BU151" s="57"/>
    </row>
    <row r="152" spans="73:73" s="17" customFormat="1" x14ac:dyDescent="0.25">
      <c r="BU152" s="57"/>
    </row>
    <row r="153" spans="73:73" s="17" customFormat="1" x14ac:dyDescent="0.25">
      <c r="BU153" s="57"/>
    </row>
    <row r="154" spans="73:73" s="17" customFormat="1" x14ac:dyDescent="0.25">
      <c r="BU154" s="57"/>
    </row>
    <row r="155" spans="73:73" s="17" customFormat="1" x14ac:dyDescent="0.25">
      <c r="BU155" s="57"/>
    </row>
    <row r="156" spans="73:73" s="17" customFormat="1" x14ac:dyDescent="0.25">
      <c r="BU156" s="57"/>
    </row>
    <row r="157" spans="73:73" s="17" customFormat="1" x14ac:dyDescent="0.25">
      <c r="BU157" s="57"/>
    </row>
    <row r="158" spans="73:73" s="17" customFormat="1" x14ac:dyDescent="0.25">
      <c r="BU158" s="57"/>
    </row>
    <row r="159" spans="73:73" s="17" customFormat="1" x14ac:dyDescent="0.25">
      <c r="BU159" s="57"/>
    </row>
    <row r="160" spans="73:73" s="17" customFormat="1" x14ac:dyDescent="0.25">
      <c r="BU160" s="57"/>
    </row>
    <row r="161" spans="73:73" s="17" customFormat="1" x14ac:dyDescent="0.25">
      <c r="BU161" s="57"/>
    </row>
    <row r="162" spans="73:73" s="17" customFormat="1" x14ac:dyDescent="0.25">
      <c r="BU162" s="57"/>
    </row>
    <row r="163" spans="73:73" s="17" customFormat="1" x14ac:dyDescent="0.25">
      <c r="BU163" s="57"/>
    </row>
    <row r="164" spans="73:73" s="17" customFormat="1" x14ac:dyDescent="0.25">
      <c r="BU164" s="57"/>
    </row>
    <row r="165" spans="73:73" s="17" customFormat="1" x14ac:dyDescent="0.25">
      <c r="BU165" s="57"/>
    </row>
    <row r="166" spans="73:73" s="17" customFormat="1" x14ac:dyDescent="0.25">
      <c r="BU166" s="57"/>
    </row>
    <row r="167" spans="73:73" s="17" customFormat="1" x14ac:dyDescent="0.25">
      <c r="BU167" s="57"/>
    </row>
    <row r="168" spans="73:73" s="17" customFormat="1" x14ac:dyDescent="0.25">
      <c r="BU168" s="57"/>
    </row>
    <row r="169" spans="73:73" s="17" customFormat="1" x14ac:dyDescent="0.25">
      <c r="BU169" s="57"/>
    </row>
    <row r="170" spans="73:73" s="17" customFormat="1" x14ac:dyDescent="0.25">
      <c r="BU170" s="57"/>
    </row>
    <row r="171" spans="73:73" s="17" customFormat="1" x14ac:dyDescent="0.25">
      <c r="BU171" s="57"/>
    </row>
    <row r="172" spans="73:73" s="17" customFormat="1" x14ac:dyDescent="0.25">
      <c r="BU172" s="57"/>
    </row>
    <row r="173" spans="73:73" s="17" customFormat="1" x14ac:dyDescent="0.25">
      <c r="BU173" s="57"/>
    </row>
    <row r="174" spans="73:73" s="17" customFormat="1" x14ac:dyDescent="0.25">
      <c r="BU174" s="57"/>
    </row>
    <row r="175" spans="73:73" s="17" customFormat="1" x14ac:dyDescent="0.25">
      <c r="BU175" s="57"/>
    </row>
    <row r="176" spans="73:73" s="17" customFormat="1" x14ac:dyDescent="0.25">
      <c r="BU176" s="57"/>
    </row>
    <row r="177" spans="73:73" s="17" customFormat="1" x14ac:dyDescent="0.25">
      <c r="BU177" s="57"/>
    </row>
    <row r="178" spans="73:73" s="17" customFormat="1" x14ac:dyDescent="0.25">
      <c r="BU178" s="57"/>
    </row>
    <row r="179" spans="73:73" s="17" customFormat="1" x14ac:dyDescent="0.25">
      <c r="BU179" s="57"/>
    </row>
    <row r="180" spans="73:73" s="17" customFormat="1" x14ac:dyDescent="0.25">
      <c r="BU180" s="57"/>
    </row>
    <row r="181" spans="73:73" s="17" customFormat="1" x14ac:dyDescent="0.25">
      <c r="BU181" s="57"/>
    </row>
    <row r="182" spans="73:73" s="17" customFormat="1" x14ac:dyDescent="0.25">
      <c r="BU182" s="57"/>
    </row>
    <row r="183" spans="73:73" s="17" customFormat="1" x14ac:dyDescent="0.25">
      <c r="BU183" s="57"/>
    </row>
    <row r="184" spans="73:73" s="17" customFormat="1" x14ac:dyDescent="0.25">
      <c r="BU184" s="57"/>
    </row>
    <row r="185" spans="73:73" s="17" customFormat="1" x14ac:dyDescent="0.25">
      <c r="BU185" s="57"/>
    </row>
    <row r="186" spans="73:73" s="17" customFormat="1" x14ac:dyDescent="0.25">
      <c r="BU186" s="57"/>
    </row>
    <row r="187" spans="73:73" s="17" customFormat="1" x14ac:dyDescent="0.25">
      <c r="BU187" s="57"/>
    </row>
    <row r="188" spans="73:73" s="17" customFormat="1" x14ac:dyDescent="0.25">
      <c r="BU188" s="57"/>
    </row>
    <row r="189" spans="73:73" s="17" customFormat="1" x14ac:dyDescent="0.25">
      <c r="BU189" s="57"/>
    </row>
    <row r="190" spans="73:73" s="17" customFormat="1" x14ac:dyDescent="0.25">
      <c r="BU190" s="57"/>
    </row>
    <row r="191" spans="73:73" s="17" customFormat="1" x14ac:dyDescent="0.25">
      <c r="BU191" s="57"/>
    </row>
    <row r="192" spans="73:73" s="17" customFormat="1" x14ac:dyDescent="0.25">
      <c r="BU192" s="57"/>
    </row>
    <row r="193" spans="73:73" s="17" customFormat="1" x14ac:dyDescent="0.25">
      <c r="BU193" s="57"/>
    </row>
    <row r="194" spans="73:73" s="17" customFormat="1" x14ac:dyDescent="0.25">
      <c r="BU194" s="57"/>
    </row>
    <row r="195" spans="73:73" s="17" customFormat="1" x14ac:dyDescent="0.25">
      <c r="BU195" s="57"/>
    </row>
    <row r="196" spans="73:73" s="17" customFormat="1" x14ac:dyDescent="0.25">
      <c r="BU196" s="57"/>
    </row>
    <row r="197" spans="73:73" s="17" customFormat="1" x14ac:dyDescent="0.25">
      <c r="BU197" s="57"/>
    </row>
    <row r="198" spans="73:73" s="17" customFormat="1" x14ac:dyDescent="0.25">
      <c r="BU198" s="57"/>
    </row>
    <row r="199" spans="73:73" s="17" customFormat="1" x14ac:dyDescent="0.25">
      <c r="BU199" s="57"/>
    </row>
    <row r="200" spans="73:73" s="17" customFormat="1" x14ac:dyDescent="0.25">
      <c r="BU200" s="57"/>
    </row>
    <row r="201" spans="73:73" s="17" customFormat="1" x14ac:dyDescent="0.25">
      <c r="BU201" s="57"/>
    </row>
    <row r="202" spans="73:73" s="17" customFormat="1" x14ac:dyDescent="0.25">
      <c r="BU202" s="57"/>
    </row>
    <row r="203" spans="73:73" s="17" customFormat="1" x14ac:dyDescent="0.25">
      <c r="BU203" s="57"/>
    </row>
    <row r="204" spans="73:73" s="17" customFormat="1" x14ac:dyDescent="0.25">
      <c r="BU204" s="57"/>
    </row>
    <row r="205" spans="73:73" s="17" customFormat="1" x14ac:dyDescent="0.25">
      <c r="BU205" s="57"/>
    </row>
    <row r="206" spans="73:73" s="17" customFormat="1" x14ac:dyDescent="0.25">
      <c r="BU206" s="57"/>
    </row>
    <row r="207" spans="73:73" s="17" customFormat="1" x14ac:dyDescent="0.25">
      <c r="BU207" s="57"/>
    </row>
    <row r="208" spans="73:73" s="17" customFormat="1" x14ac:dyDescent="0.25">
      <c r="BU208" s="57"/>
    </row>
    <row r="209" spans="73:73" s="17" customFormat="1" x14ac:dyDescent="0.25">
      <c r="BU209" s="57"/>
    </row>
    <row r="210" spans="73:73" s="17" customFormat="1" x14ac:dyDescent="0.25">
      <c r="BU210" s="57"/>
    </row>
    <row r="211" spans="73:73" s="17" customFormat="1" x14ac:dyDescent="0.25">
      <c r="BU211" s="57"/>
    </row>
    <row r="212" spans="73:73" s="17" customFormat="1" x14ac:dyDescent="0.25">
      <c r="BU212" s="57"/>
    </row>
    <row r="213" spans="73:73" s="17" customFormat="1" x14ac:dyDescent="0.25">
      <c r="BU213" s="57"/>
    </row>
    <row r="214" spans="73:73" s="17" customFormat="1" x14ac:dyDescent="0.25">
      <c r="BU214" s="57"/>
    </row>
    <row r="215" spans="73:73" s="17" customFormat="1" x14ac:dyDescent="0.25">
      <c r="BU215" s="57"/>
    </row>
    <row r="216" spans="73:73" s="17" customFormat="1" x14ac:dyDescent="0.25">
      <c r="BU216" s="57"/>
    </row>
    <row r="217" spans="73:73" s="17" customFormat="1" x14ac:dyDescent="0.25">
      <c r="BU217" s="57"/>
    </row>
    <row r="218" spans="73:73" s="17" customFormat="1" x14ac:dyDescent="0.25">
      <c r="BU218" s="57"/>
    </row>
    <row r="219" spans="73:73" s="17" customFormat="1" x14ac:dyDescent="0.25">
      <c r="BU219" s="57"/>
    </row>
    <row r="220" spans="73:73" s="17" customFormat="1" x14ac:dyDescent="0.25">
      <c r="BU220" s="57"/>
    </row>
    <row r="221" spans="73:73" s="17" customFormat="1" x14ac:dyDescent="0.25">
      <c r="BU221" s="57"/>
    </row>
    <row r="222" spans="73:73" s="17" customFormat="1" x14ac:dyDescent="0.25">
      <c r="BU222" s="57"/>
    </row>
    <row r="223" spans="73:73" s="17" customFormat="1" x14ac:dyDescent="0.25">
      <c r="BU223" s="57"/>
    </row>
    <row r="224" spans="73:73" s="17" customFormat="1" x14ac:dyDescent="0.25">
      <c r="BU224" s="57"/>
    </row>
    <row r="225" spans="73:73" s="17" customFormat="1" x14ac:dyDescent="0.25">
      <c r="BU225" s="57"/>
    </row>
    <row r="226" spans="73:73" s="17" customFormat="1" x14ac:dyDescent="0.25">
      <c r="BU226" s="57"/>
    </row>
    <row r="227" spans="73:73" s="17" customFormat="1" x14ac:dyDescent="0.25">
      <c r="BU227" s="57"/>
    </row>
    <row r="228" spans="73:73" s="17" customFormat="1" x14ac:dyDescent="0.25">
      <c r="BU228" s="57"/>
    </row>
    <row r="229" spans="73:73" s="17" customFormat="1" x14ac:dyDescent="0.25">
      <c r="BU229" s="57"/>
    </row>
    <row r="230" spans="73:73" s="17" customFormat="1" x14ac:dyDescent="0.25">
      <c r="BU230" s="57"/>
    </row>
    <row r="231" spans="73:73" s="17" customFormat="1" x14ac:dyDescent="0.25">
      <c r="BU231" s="57"/>
    </row>
    <row r="232" spans="73:73" s="17" customFormat="1" x14ac:dyDescent="0.25">
      <c r="BU232" s="57"/>
    </row>
    <row r="233" spans="73:73" s="17" customFormat="1" x14ac:dyDescent="0.25">
      <c r="BU233" s="57"/>
    </row>
    <row r="234" spans="73:73" s="17" customFormat="1" x14ac:dyDescent="0.25">
      <c r="BU234" s="57"/>
    </row>
    <row r="235" spans="73:73" s="17" customFormat="1" x14ac:dyDescent="0.25">
      <c r="BU235" s="57"/>
    </row>
    <row r="236" spans="73:73" s="17" customFormat="1" x14ac:dyDescent="0.25">
      <c r="BU236" s="57"/>
    </row>
    <row r="237" spans="73:73" s="17" customFormat="1" x14ac:dyDescent="0.25">
      <c r="BU237" s="57"/>
    </row>
    <row r="238" spans="73:73" s="17" customFormat="1" x14ac:dyDescent="0.25">
      <c r="BU238" s="57"/>
    </row>
    <row r="239" spans="73:73" s="17" customFormat="1" x14ac:dyDescent="0.25">
      <c r="BU239" s="57"/>
    </row>
    <row r="240" spans="73:73" s="17" customFormat="1" x14ac:dyDescent="0.25">
      <c r="BU240" s="57"/>
    </row>
    <row r="241" spans="73:73" s="17" customFormat="1" x14ac:dyDescent="0.25">
      <c r="BU241" s="57"/>
    </row>
    <row r="242" spans="73:73" s="17" customFormat="1" x14ac:dyDescent="0.25">
      <c r="BU242" s="57"/>
    </row>
    <row r="243" spans="73:73" s="17" customFormat="1" x14ac:dyDescent="0.25">
      <c r="BU243" s="57"/>
    </row>
    <row r="244" spans="73:73" s="17" customFormat="1" x14ac:dyDescent="0.25">
      <c r="BU244" s="57"/>
    </row>
    <row r="245" spans="73:73" s="17" customFormat="1" x14ac:dyDescent="0.25">
      <c r="BU245" s="57"/>
    </row>
    <row r="246" spans="73:73" s="17" customFormat="1" x14ac:dyDescent="0.25">
      <c r="BU246" s="57"/>
    </row>
    <row r="247" spans="73:73" s="17" customFormat="1" x14ac:dyDescent="0.25">
      <c r="BU247" s="57"/>
    </row>
    <row r="248" spans="73:73" s="17" customFormat="1" x14ac:dyDescent="0.25">
      <c r="BU248" s="57"/>
    </row>
    <row r="249" spans="73:73" s="17" customFormat="1" x14ac:dyDescent="0.25">
      <c r="BU249" s="57"/>
    </row>
    <row r="250" spans="73:73" s="17" customFormat="1" x14ac:dyDescent="0.25">
      <c r="BU250" s="57"/>
    </row>
    <row r="251" spans="73:73" s="17" customFormat="1" x14ac:dyDescent="0.25">
      <c r="BU251" s="57"/>
    </row>
    <row r="252" spans="73:73" s="17" customFormat="1" x14ac:dyDescent="0.25">
      <c r="BU252" s="57"/>
    </row>
    <row r="253" spans="73:73" s="17" customFormat="1" x14ac:dyDescent="0.25">
      <c r="BU253" s="57"/>
    </row>
    <row r="254" spans="73:73" s="17" customFormat="1" x14ac:dyDescent="0.25">
      <c r="BU254" s="57"/>
    </row>
    <row r="255" spans="73:73" s="17" customFormat="1" x14ac:dyDescent="0.25">
      <c r="BU255" s="57"/>
    </row>
    <row r="256" spans="73:73" s="17" customFormat="1" x14ac:dyDescent="0.25">
      <c r="BU256" s="57"/>
    </row>
    <row r="257" spans="73:73" s="17" customFormat="1" x14ac:dyDescent="0.25">
      <c r="BU257" s="57"/>
    </row>
    <row r="258" spans="73:73" s="17" customFormat="1" x14ac:dyDescent="0.25">
      <c r="BU258" s="57"/>
    </row>
    <row r="259" spans="73:73" s="17" customFormat="1" x14ac:dyDescent="0.25">
      <c r="BU259" s="57"/>
    </row>
    <row r="260" spans="73:73" s="17" customFormat="1" x14ac:dyDescent="0.25">
      <c r="BU260" s="57"/>
    </row>
    <row r="261" spans="73:73" s="17" customFormat="1" x14ac:dyDescent="0.25">
      <c r="BU261" s="57"/>
    </row>
    <row r="262" spans="73:73" s="17" customFormat="1" x14ac:dyDescent="0.25">
      <c r="BU262" s="57"/>
    </row>
    <row r="263" spans="73:73" s="17" customFormat="1" x14ac:dyDescent="0.25">
      <c r="BU263" s="57"/>
    </row>
    <row r="264" spans="73:73" s="17" customFormat="1" x14ac:dyDescent="0.25">
      <c r="BU264" s="57"/>
    </row>
    <row r="265" spans="73:73" s="17" customFormat="1" x14ac:dyDescent="0.25">
      <c r="BU265" s="57"/>
    </row>
    <row r="266" spans="73:73" s="17" customFormat="1" x14ac:dyDescent="0.25">
      <c r="BU266" s="57"/>
    </row>
    <row r="267" spans="73:73" s="17" customFormat="1" x14ac:dyDescent="0.25">
      <c r="BU267" s="57"/>
    </row>
    <row r="268" spans="73:73" s="17" customFormat="1" x14ac:dyDescent="0.25">
      <c r="BU268" s="57"/>
    </row>
    <row r="269" spans="73:73" s="17" customFormat="1" x14ac:dyDescent="0.25">
      <c r="BU269" s="57"/>
    </row>
    <row r="270" spans="73:73" s="17" customFormat="1" x14ac:dyDescent="0.25">
      <c r="BU270" s="57"/>
    </row>
    <row r="271" spans="73:73" s="17" customFormat="1" x14ac:dyDescent="0.25">
      <c r="BU271" s="57"/>
    </row>
    <row r="272" spans="73:73" s="17" customFormat="1" x14ac:dyDescent="0.25">
      <c r="BU272" s="57"/>
    </row>
    <row r="273" spans="73:73" s="17" customFormat="1" x14ac:dyDescent="0.25">
      <c r="BU273" s="57"/>
    </row>
    <row r="274" spans="73:73" s="17" customFormat="1" x14ac:dyDescent="0.25">
      <c r="BU274" s="57"/>
    </row>
    <row r="275" spans="73:73" s="17" customFormat="1" x14ac:dyDescent="0.25">
      <c r="BU275" s="57"/>
    </row>
    <row r="276" spans="73:73" s="17" customFormat="1" x14ac:dyDescent="0.25">
      <c r="BU276" s="57"/>
    </row>
    <row r="277" spans="73:73" s="17" customFormat="1" x14ac:dyDescent="0.25">
      <c r="BU277" s="57"/>
    </row>
    <row r="278" spans="73:73" s="17" customFormat="1" x14ac:dyDescent="0.25">
      <c r="BU278" s="57"/>
    </row>
    <row r="279" spans="73:73" s="17" customFormat="1" x14ac:dyDescent="0.25">
      <c r="BU279" s="57"/>
    </row>
    <row r="280" spans="73:73" s="17" customFormat="1" x14ac:dyDescent="0.25">
      <c r="BU280" s="57"/>
    </row>
    <row r="281" spans="73:73" s="17" customFormat="1" x14ac:dyDescent="0.25">
      <c r="BU281" s="57"/>
    </row>
    <row r="282" spans="73:73" s="17" customFormat="1" x14ac:dyDescent="0.25">
      <c r="BU282" s="57"/>
    </row>
    <row r="283" spans="73:73" s="17" customFormat="1" x14ac:dyDescent="0.25">
      <c r="BU283" s="57"/>
    </row>
    <row r="284" spans="73:73" s="17" customFormat="1" x14ac:dyDescent="0.25">
      <c r="BU284" s="57"/>
    </row>
    <row r="285" spans="73:73" s="17" customFormat="1" x14ac:dyDescent="0.25">
      <c r="BU285" s="57"/>
    </row>
    <row r="286" spans="73:73" s="17" customFormat="1" x14ac:dyDescent="0.25">
      <c r="BU286" s="57"/>
    </row>
    <row r="287" spans="73:73" s="17" customFormat="1" x14ac:dyDescent="0.25">
      <c r="BU287" s="57"/>
    </row>
    <row r="288" spans="73:73" s="17" customFormat="1" x14ac:dyDescent="0.25">
      <c r="BU288" s="57"/>
    </row>
    <row r="289" spans="73:73" s="17" customFormat="1" x14ac:dyDescent="0.25">
      <c r="BU289" s="57"/>
    </row>
    <row r="290" spans="73:73" s="17" customFormat="1" x14ac:dyDescent="0.25">
      <c r="BU290" s="57"/>
    </row>
    <row r="291" spans="73:73" s="17" customFormat="1" x14ac:dyDescent="0.25">
      <c r="BU291" s="57"/>
    </row>
    <row r="292" spans="73:73" s="17" customFormat="1" x14ac:dyDescent="0.25">
      <c r="BU292" s="57"/>
    </row>
    <row r="293" spans="73:73" s="17" customFormat="1" x14ac:dyDescent="0.25">
      <c r="BU293" s="57"/>
    </row>
    <row r="294" spans="73:73" s="17" customFormat="1" x14ac:dyDescent="0.25">
      <c r="BU294" s="57"/>
    </row>
    <row r="295" spans="73:73" s="17" customFormat="1" x14ac:dyDescent="0.25">
      <c r="BU295" s="57"/>
    </row>
    <row r="296" spans="73:73" s="17" customFormat="1" x14ac:dyDescent="0.25">
      <c r="BU296" s="57"/>
    </row>
    <row r="297" spans="73:73" s="17" customFormat="1" x14ac:dyDescent="0.25">
      <c r="BU297" s="57"/>
    </row>
    <row r="298" spans="73:73" s="17" customFormat="1" x14ac:dyDescent="0.25">
      <c r="BU298" s="57"/>
    </row>
    <row r="299" spans="73:73" s="17" customFormat="1" x14ac:dyDescent="0.25">
      <c r="BU299" s="57"/>
    </row>
    <row r="300" spans="73:73" s="17" customFormat="1" x14ac:dyDescent="0.25">
      <c r="BU300" s="57"/>
    </row>
    <row r="301" spans="73:73" s="17" customFormat="1" x14ac:dyDescent="0.25">
      <c r="BU301" s="57"/>
    </row>
    <row r="302" spans="73:73" s="17" customFormat="1" x14ac:dyDescent="0.25">
      <c r="BU302" s="57"/>
    </row>
    <row r="303" spans="73:73" s="17" customFormat="1" x14ac:dyDescent="0.25">
      <c r="BU303" s="57"/>
    </row>
    <row r="304" spans="73:73" s="17" customFormat="1" x14ac:dyDescent="0.25">
      <c r="BU304" s="57"/>
    </row>
    <row r="305" spans="73:73" s="17" customFormat="1" x14ac:dyDescent="0.25">
      <c r="BU305" s="57"/>
    </row>
    <row r="306" spans="73:73" s="17" customFormat="1" x14ac:dyDescent="0.25">
      <c r="BU306" s="57"/>
    </row>
    <row r="307" spans="73:73" s="17" customFormat="1" x14ac:dyDescent="0.25">
      <c r="BU307" s="57"/>
    </row>
    <row r="308" spans="73:73" s="17" customFormat="1" x14ac:dyDescent="0.25">
      <c r="BU308" s="57"/>
    </row>
    <row r="309" spans="73:73" s="17" customFormat="1" x14ac:dyDescent="0.25">
      <c r="BU309" s="57"/>
    </row>
    <row r="310" spans="73:73" s="17" customFormat="1" x14ac:dyDescent="0.25">
      <c r="BU310" s="57"/>
    </row>
    <row r="311" spans="73:73" s="17" customFormat="1" x14ac:dyDescent="0.25">
      <c r="BU311" s="57"/>
    </row>
    <row r="312" spans="73:73" s="17" customFormat="1" x14ac:dyDescent="0.25">
      <c r="BU312" s="57"/>
    </row>
    <row r="313" spans="73:73" s="17" customFormat="1" x14ac:dyDescent="0.25">
      <c r="BU313" s="57"/>
    </row>
    <row r="314" spans="73:73" s="17" customFormat="1" x14ac:dyDescent="0.25">
      <c r="BU314" s="57"/>
    </row>
    <row r="315" spans="73:73" s="17" customFormat="1" x14ac:dyDescent="0.25">
      <c r="BU315" s="57"/>
    </row>
    <row r="316" spans="73:73" s="17" customFormat="1" x14ac:dyDescent="0.25">
      <c r="BU316" s="57"/>
    </row>
    <row r="317" spans="73:73" s="17" customFormat="1" x14ac:dyDescent="0.25">
      <c r="BU317" s="57"/>
    </row>
    <row r="318" spans="73:73" s="17" customFormat="1" x14ac:dyDescent="0.25">
      <c r="BU318" s="57"/>
    </row>
    <row r="319" spans="73:73" s="17" customFormat="1" x14ac:dyDescent="0.25">
      <c r="BU319" s="57"/>
    </row>
    <row r="320" spans="73:73" s="17" customFormat="1" x14ac:dyDescent="0.25">
      <c r="BU320" s="57"/>
    </row>
    <row r="321" spans="73:73" s="17" customFormat="1" x14ac:dyDescent="0.25">
      <c r="BU321" s="57"/>
    </row>
    <row r="322" spans="73:73" s="17" customFormat="1" x14ac:dyDescent="0.25">
      <c r="BU322" s="57"/>
    </row>
    <row r="323" spans="73:73" s="17" customFormat="1" x14ac:dyDescent="0.25">
      <c r="BU323" s="57"/>
    </row>
    <row r="324" spans="73:73" s="17" customFormat="1" x14ac:dyDescent="0.25">
      <c r="BU324" s="57"/>
    </row>
    <row r="325" spans="73:73" s="17" customFormat="1" x14ac:dyDescent="0.25">
      <c r="BU325" s="57"/>
    </row>
    <row r="326" spans="73:73" s="17" customFormat="1" x14ac:dyDescent="0.25">
      <c r="BU326" s="57"/>
    </row>
    <row r="327" spans="73:73" s="17" customFormat="1" x14ac:dyDescent="0.25">
      <c r="BU327" s="57"/>
    </row>
    <row r="328" spans="73:73" s="17" customFormat="1" x14ac:dyDescent="0.25">
      <c r="BU328" s="57"/>
    </row>
    <row r="329" spans="73:73" s="17" customFormat="1" x14ac:dyDescent="0.25">
      <c r="BU329" s="57"/>
    </row>
    <row r="330" spans="73:73" s="17" customFormat="1" x14ac:dyDescent="0.25">
      <c r="BU330" s="57"/>
    </row>
    <row r="331" spans="73:73" s="17" customFormat="1" x14ac:dyDescent="0.25">
      <c r="BU331" s="57"/>
    </row>
    <row r="332" spans="73:73" s="17" customFormat="1" x14ac:dyDescent="0.25">
      <c r="BU332" s="57"/>
    </row>
    <row r="333" spans="73:73" s="17" customFormat="1" x14ac:dyDescent="0.25">
      <c r="BU333" s="57"/>
    </row>
    <row r="334" spans="73:73" s="17" customFormat="1" x14ac:dyDescent="0.25">
      <c r="BU334" s="57"/>
    </row>
    <row r="335" spans="73:73" s="17" customFormat="1" x14ac:dyDescent="0.25">
      <c r="BU335" s="57"/>
    </row>
    <row r="336" spans="73:73" s="17" customFormat="1" x14ac:dyDescent="0.25">
      <c r="BU336" s="57"/>
    </row>
    <row r="337" spans="73:73" s="17" customFormat="1" x14ac:dyDescent="0.25">
      <c r="BU337" s="57"/>
    </row>
    <row r="338" spans="73:73" s="17" customFormat="1" x14ac:dyDescent="0.25">
      <c r="BU338" s="57"/>
    </row>
    <row r="339" spans="73:73" s="17" customFormat="1" x14ac:dyDescent="0.25">
      <c r="BU339" s="57"/>
    </row>
    <row r="340" spans="73:73" s="17" customFormat="1" x14ac:dyDescent="0.25">
      <c r="BU340" s="57"/>
    </row>
    <row r="341" spans="73:73" s="17" customFormat="1" x14ac:dyDescent="0.25">
      <c r="BU341" s="57"/>
    </row>
    <row r="342" spans="73:73" s="17" customFormat="1" x14ac:dyDescent="0.25">
      <c r="BU342" s="57"/>
    </row>
    <row r="343" spans="73:73" s="17" customFormat="1" x14ac:dyDescent="0.25">
      <c r="BU343" s="57"/>
    </row>
    <row r="344" spans="73:73" s="17" customFormat="1" x14ac:dyDescent="0.25">
      <c r="BU344" s="57"/>
    </row>
    <row r="345" spans="73:73" s="17" customFormat="1" x14ac:dyDescent="0.25">
      <c r="BU345" s="57"/>
    </row>
    <row r="346" spans="73:73" s="17" customFormat="1" x14ac:dyDescent="0.25">
      <c r="BU346" s="57"/>
    </row>
    <row r="347" spans="73:73" s="17" customFormat="1" x14ac:dyDescent="0.25">
      <c r="BU347" s="57"/>
    </row>
    <row r="348" spans="73:73" s="17" customFormat="1" x14ac:dyDescent="0.25">
      <c r="BU348" s="57"/>
    </row>
    <row r="349" spans="73:73" s="17" customFormat="1" x14ac:dyDescent="0.25">
      <c r="BU349" s="57"/>
    </row>
    <row r="350" spans="73:73" s="17" customFormat="1" x14ac:dyDescent="0.25">
      <c r="BU350" s="57"/>
    </row>
    <row r="351" spans="73:73" s="17" customFormat="1" x14ac:dyDescent="0.25">
      <c r="BU351" s="57"/>
    </row>
    <row r="352" spans="73:73" s="17" customFormat="1" x14ac:dyDescent="0.25">
      <c r="BU352" s="57"/>
    </row>
    <row r="353" spans="73:73" s="17" customFormat="1" x14ac:dyDescent="0.25">
      <c r="BU353" s="57"/>
    </row>
    <row r="354" spans="73:73" s="17" customFormat="1" x14ac:dyDescent="0.25">
      <c r="BU354" s="57"/>
    </row>
    <row r="355" spans="73:73" s="17" customFormat="1" x14ac:dyDescent="0.25">
      <c r="BU355" s="57"/>
    </row>
    <row r="356" spans="73:73" s="17" customFormat="1" x14ac:dyDescent="0.25">
      <c r="BU356" s="57"/>
    </row>
    <row r="357" spans="73:73" s="17" customFormat="1" x14ac:dyDescent="0.25">
      <c r="BU357" s="57"/>
    </row>
    <row r="358" spans="73:73" s="17" customFormat="1" x14ac:dyDescent="0.25">
      <c r="BU358" s="57"/>
    </row>
    <row r="359" spans="73:73" s="17" customFormat="1" x14ac:dyDescent="0.25">
      <c r="BU359" s="57"/>
    </row>
    <row r="360" spans="73:73" s="17" customFormat="1" x14ac:dyDescent="0.25">
      <c r="BU360" s="57"/>
    </row>
    <row r="361" spans="73:73" s="17" customFormat="1" x14ac:dyDescent="0.25">
      <c r="BU361" s="57"/>
    </row>
    <row r="362" spans="73:73" s="17" customFormat="1" x14ac:dyDescent="0.25">
      <c r="BU362" s="57"/>
    </row>
    <row r="363" spans="73:73" s="17" customFormat="1" x14ac:dyDescent="0.25">
      <c r="BU363" s="57"/>
    </row>
    <row r="364" spans="73:73" s="17" customFormat="1" x14ac:dyDescent="0.25">
      <c r="BU364" s="57"/>
    </row>
    <row r="365" spans="73:73" s="17" customFormat="1" x14ac:dyDescent="0.25">
      <c r="BU365" s="57"/>
    </row>
    <row r="366" spans="73:73" s="17" customFormat="1" x14ac:dyDescent="0.25">
      <c r="BU366" s="57"/>
    </row>
    <row r="367" spans="73:73" s="17" customFormat="1" x14ac:dyDescent="0.25">
      <c r="BU367" s="57"/>
    </row>
    <row r="368" spans="73:73" s="17" customFormat="1" x14ac:dyDescent="0.25">
      <c r="BU368" s="57"/>
    </row>
    <row r="369" spans="73:73" s="17" customFormat="1" x14ac:dyDescent="0.25">
      <c r="BU369" s="57"/>
    </row>
    <row r="370" spans="73:73" s="17" customFormat="1" x14ac:dyDescent="0.25">
      <c r="BU370" s="57"/>
    </row>
    <row r="371" spans="73:73" s="17" customFormat="1" x14ac:dyDescent="0.25">
      <c r="BU371" s="57"/>
    </row>
    <row r="372" spans="73:73" s="17" customFormat="1" x14ac:dyDescent="0.25">
      <c r="BU372" s="57"/>
    </row>
    <row r="373" spans="73:73" s="17" customFormat="1" x14ac:dyDescent="0.25">
      <c r="BU373" s="57"/>
    </row>
    <row r="374" spans="73:73" s="17" customFormat="1" x14ac:dyDescent="0.25">
      <c r="BU374" s="57"/>
    </row>
    <row r="375" spans="73:73" s="17" customFormat="1" x14ac:dyDescent="0.25">
      <c r="BU375" s="57"/>
    </row>
    <row r="376" spans="73:73" s="17" customFormat="1" x14ac:dyDescent="0.25">
      <c r="BU376" s="57"/>
    </row>
    <row r="377" spans="73:73" s="17" customFormat="1" x14ac:dyDescent="0.25">
      <c r="BU377" s="57"/>
    </row>
    <row r="378" spans="73:73" s="17" customFormat="1" x14ac:dyDescent="0.25">
      <c r="BU378" s="57"/>
    </row>
    <row r="379" spans="73:73" s="17" customFormat="1" x14ac:dyDescent="0.25">
      <c r="BU379" s="57"/>
    </row>
    <row r="380" spans="73:73" s="17" customFormat="1" x14ac:dyDescent="0.25">
      <c r="BU380" s="57"/>
    </row>
    <row r="381" spans="73:73" s="17" customFormat="1" x14ac:dyDescent="0.25">
      <c r="BU381" s="57"/>
    </row>
    <row r="382" spans="73:73" s="17" customFormat="1" x14ac:dyDescent="0.25">
      <c r="BU382" s="57"/>
    </row>
    <row r="383" spans="73:73" s="17" customFormat="1" x14ac:dyDescent="0.25">
      <c r="BU383" s="57"/>
    </row>
    <row r="384" spans="73:73" s="17" customFormat="1" x14ac:dyDescent="0.25">
      <c r="BU384" s="57"/>
    </row>
    <row r="385" spans="73:73" s="17" customFormat="1" x14ac:dyDescent="0.25">
      <c r="BU385" s="57"/>
    </row>
    <row r="386" spans="73:73" s="17" customFormat="1" x14ac:dyDescent="0.25">
      <c r="BU386" s="57"/>
    </row>
    <row r="387" spans="73:73" s="17" customFormat="1" x14ac:dyDescent="0.25">
      <c r="BU387" s="57"/>
    </row>
    <row r="388" spans="73:73" s="17" customFormat="1" x14ac:dyDescent="0.25">
      <c r="BU388" s="57"/>
    </row>
    <row r="389" spans="73:73" s="17" customFormat="1" x14ac:dyDescent="0.25">
      <c r="BU389" s="57"/>
    </row>
    <row r="390" spans="73:73" s="17" customFormat="1" x14ac:dyDescent="0.25">
      <c r="BU390" s="57"/>
    </row>
    <row r="391" spans="73:73" s="17" customFormat="1" x14ac:dyDescent="0.25">
      <c r="BU391" s="57"/>
    </row>
    <row r="392" spans="73:73" s="17" customFormat="1" x14ac:dyDescent="0.25">
      <c r="BU392" s="57"/>
    </row>
    <row r="393" spans="73:73" s="17" customFormat="1" x14ac:dyDescent="0.25">
      <c r="BU393" s="57"/>
    </row>
    <row r="394" spans="73:73" s="17" customFormat="1" x14ac:dyDescent="0.25">
      <c r="BU394" s="57"/>
    </row>
    <row r="395" spans="73:73" s="17" customFormat="1" x14ac:dyDescent="0.25">
      <c r="BU395" s="57"/>
    </row>
    <row r="396" spans="73:73" s="17" customFormat="1" x14ac:dyDescent="0.25">
      <c r="BU396" s="57"/>
    </row>
    <row r="397" spans="73:73" s="17" customFormat="1" x14ac:dyDescent="0.25">
      <c r="BU397" s="57"/>
    </row>
    <row r="398" spans="73:73" s="17" customFormat="1" x14ac:dyDescent="0.25">
      <c r="BU398" s="57"/>
    </row>
    <row r="399" spans="73:73" s="17" customFormat="1" x14ac:dyDescent="0.25">
      <c r="BU399" s="57"/>
    </row>
    <row r="400" spans="73:73" s="17" customFormat="1" x14ac:dyDescent="0.25">
      <c r="BU400" s="57"/>
    </row>
    <row r="401" spans="73:73" s="17" customFormat="1" x14ac:dyDescent="0.25">
      <c r="BU401" s="57"/>
    </row>
    <row r="402" spans="73:73" s="17" customFormat="1" x14ac:dyDescent="0.25">
      <c r="BU402" s="57"/>
    </row>
    <row r="403" spans="73:73" s="17" customFormat="1" x14ac:dyDescent="0.25">
      <c r="BU403" s="57"/>
    </row>
    <row r="404" spans="73:73" s="17" customFormat="1" x14ac:dyDescent="0.25">
      <c r="BU404" s="57"/>
    </row>
    <row r="405" spans="73:73" s="17" customFormat="1" x14ac:dyDescent="0.25">
      <c r="BU405" s="57"/>
    </row>
    <row r="406" spans="73:73" s="17" customFormat="1" x14ac:dyDescent="0.25">
      <c r="BU406" s="57"/>
    </row>
    <row r="407" spans="73:73" s="17" customFormat="1" x14ac:dyDescent="0.25">
      <c r="BU407" s="57"/>
    </row>
    <row r="408" spans="73:73" s="17" customFormat="1" x14ac:dyDescent="0.25">
      <c r="BU408" s="57"/>
    </row>
    <row r="409" spans="73:73" s="17" customFormat="1" x14ac:dyDescent="0.25">
      <c r="BU409" s="57"/>
    </row>
    <row r="410" spans="73:73" s="17" customFormat="1" x14ac:dyDescent="0.25">
      <c r="BU410" s="57"/>
    </row>
    <row r="411" spans="73:73" s="17" customFormat="1" x14ac:dyDescent="0.25">
      <c r="BU411" s="57"/>
    </row>
    <row r="412" spans="73:73" s="17" customFormat="1" x14ac:dyDescent="0.25">
      <c r="BU412" s="57"/>
    </row>
    <row r="413" spans="73:73" s="17" customFormat="1" x14ac:dyDescent="0.25">
      <c r="BU413" s="57"/>
    </row>
    <row r="414" spans="73:73" s="17" customFormat="1" x14ac:dyDescent="0.25">
      <c r="BU414" s="57"/>
    </row>
    <row r="415" spans="73:73" s="17" customFormat="1" x14ac:dyDescent="0.25">
      <c r="BU415" s="57"/>
    </row>
    <row r="416" spans="73:73" s="17" customFormat="1" x14ac:dyDescent="0.25">
      <c r="BU416" s="57"/>
    </row>
    <row r="417" spans="73:73" s="17" customFormat="1" x14ac:dyDescent="0.25">
      <c r="BU417" s="57"/>
    </row>
    <row r="418" spans="73:73" s="17" customFormat="1" x14ac:dyDescent="0.25">
      <c r="BU418" s="57"/>
    </row>
    <row r="419" spans="73:73" s="17" customFormat="1" x14ac:dyDescent="0.25">
      <c r="BU419" s="57"/>
    </row>
    <row r="420" spans="73:73" s="17" customFormat="1" x14ac:dyDescent="0.25">
      <c r="BU420" s="57"/>
    </row>
    <row r="421" spans="73:73" s="17" customFormat="1" x14ac:dyDescent="0.25">
      <c r="BU421" s="57"/>
    </row>
    <row r="422" spans="73:73" s="17" customFormat="1" x14ac:dyDescent="0.25">
      <c r="BU422" s="57"/>
    </row>
    <row r="423" spans="73:73" s="17" customFormat="1" x14ac:dyDescent="0.25">
      <c r="BU423" s="57"/>
    </row>
    <row r="424" spans="73:73" s="17" customFormat="1" x14ac:dyDescent="0.25">
      <c r="BU424" s="57"/>
    </row>
    <row r="425" spans="73:73" s="17" customFormat="1" x14ac:dyDescent="0.25">
      <c r="BU425" s="57"/>
    </row>
    <row r="426" spans="73:73" s="17" customFormat="1" x14ac:dyDescent="0.25">
      <c r="BU426" s="57"/>
    </row>
    <row r="427" spans="73:73" s="17" customFormat="1" x14ac:dyDescent="0.25">
      <c r="BU427" s="57"/>
    </row>
    <row r="428" spans="73:73" s="17" customFormat="1" x14ac:dyDescent="0.25">
      <c r="BU428" s="57"/>
    </row>
    <row r="429" spans="73:73" s="17" customFormat="1" x14ac:dyDescent="0.25">
      <c r="BU429" s="57"/>
    </row>
    <row r="430" spans="73:73" s="17" customFormat="1" x14ac:dyDescent="0.25">
      <c r="BU430" s="57"/>
    </row>
    <row r="431" spans="73:73" s="17" customFormat="1" x14ac:dyDescent="0.25">
      <c r="BU431" s="57"/>
    </row>
    <row r="432" spans="73:73" s="17" customFormat="1" x14ac:dyDescent="0.25">
      <c r="BU432" s="57"/>
    </row>
    <row r="433" spans="73:73" s="17" customFormat="1" x14ac:dyDescent="0.25">
      <c r="BU433" s="57"/>
    </row>
    <row r="434" spans="73:73" s="17" customFormat="1" x14ac:dyDescent="0.25">
      <c r="BU434" s="57"/>
    </row>
    <row r="435" spans="73:73" s="17" customFormat="1" x14ac:dyDescent="0.25">
      <c r="BU435" s="57"/>
    </row>
    <row r="436" spans="73:73" s="17" customFormat="1" x14ac:dyDescent="0.25">
      <c r="BU436" s="57"/>
    </row>
    <row r="437" spans="73:73" s="17" customFormat="1" x14ac:dyDescent="0.25">
      <c r="BU437" s="57"/>
    </row>
    <row r="438" spans="73:73" s="17" customFormat="1" x14ac:dyDescent="0.25">
      <c r="BU438" s="57"/>
    </row>
    <row r="439" spans="73:73" s="17" customFormat="1" x14ac:dyDescent="0.25">
      <c r="BU439" s="57"/>
    </row>
    <row r="440" spans="73:73" s="17" customFormat="1" x14ac:dyDescent="0.25">
      <c r="BU440" s="57"/>
    </row>
    <row r="441" spans="73:73" s="17" customFormat="1" x14ac:dyDescent="0.25">
      <c r="BU441" s="57"/>
    </row>
    <row r="442" spans="73:73" s="17" customFormat="1" x14ac:dyDescent="0.25">
      <c r="BU442" s="57"/>
    </row>
    <row r="443" spans="73:73" s="17" customFormat="1" x14ac:dyDescent="0.25">
      <c r="BU443" s="57"/>
    </row>
    <row r="444" spans="73:73" s="17" customFormat="1" x14ac:dyDescent="0.25">
      <c r="BU444" s="57"/>
    </row>
    <row r="445" spans="73:73" s="17" customFormat="1" x14ac:dyDescent="0.25">
      <c r="BU445" s="57"/>
    </row>
    <row r="446" spans="73:73" s="17" customFormat="1" x14ac:dyDescent="0.25">
      <c r="BU446" s="57"/>
    </row>
    <row r="447" spans="73:73" s="17" customFormat="1" x14ac:dyDescent="0.25">
      <c r="BU447" s="57"/>
    </row>
    <row r="448" spans="73:73" s="17" customFormat="1" x14ac:dyDescent="0.25">
      <c r="BU448" s="57"/>
    </row>
    <row r="449" spans="73:73" s="17" customFormat="1" x14ac:dyDescent="0.25">
      <c r="BU449" s="57"/>
    </row>
    <row r="450" spans="73:73" s="17" customFormat="1" x14ac:dyDescent="0.25">
      <c r="BU450" s="57"/>
    </row>
    <row r="451" spans="73:73" s="17" customFormat="1" x14ac:dyDescent="0.25">
      <c r="BU451" s="57"/>
    </row>
    <row r="452" spans="73:73" s="17" customFormat="1" x14ac:dyDescent="0.25">
      <c r="BU452" s="57"/>
    </row>
    <row r="453" spans="73:73" s="17" customFormat="1" x14ac:dyDescent="0.25">
      <c r="BU453" s="57"/>
    </row>
    <row r="454" spans="73:73" s="17" customFormat="1" x14ac:dyDescent="0.25">
      <c r="BU454" s="57"/>
    </row>
    <row r="455" spans="73:73" s="17" customFormat="1" x14ac:dyDescent="0.25">
      <c r="BU455" s="57"/>
    </row>
    <row r="456" spans="73:73" s="17" customFormat="1" x14ac:dyDescent="0.25">
      <c r="BU456" s="57"/>
    </row>
    <row r="457" spans="73:73" s="17" customFormat="1" x14ac:dyDescent="0.25">
      <c r="BU457" s="57"/>
    </row>
    <row r="458" spans="73:73" s="17" customFormat="1" x14ac:dyDescent="0.25">
      <c r="BU458" s="57"/>
    </row>
    <row r="459" spans="73:73" s="17" customFormat="1" x14ac:dyDescent="0.25">
      <c r="BU459" s="57"/>
    </row>
    <row r="460" spans="73:73" s="17" customFormat="1" x14ac:dyDescent="0.25">
      <c r="BU460" s="57"/>
    </row>
    <row r="461" spans="73:73" s="17" customFormat="1" x14ac:dyDescent="0.25">
      <c r="BU461" s="57"/>
    </row>
    <row r="462" spans="73:73" s="17" customFormat="1" x14ac:dyDescent="0.25">
      <c r="BU462" s="57"/>
    </row>
    <row r="463" spans="73:73" s="17" customFormat="1" x14ac:dyDescent="0.25">
      <c r="BU463" s="57"/>
    </row>
    <row r="464" spans="73:73" s="17" customFormat="1" x14ac:dyDescent="0.25">
      <c r="BU464" s="57"/>
    </row>
    <row r="465" spans="73:73" s="17" customFormat="1" x14ac:dyDescent="0.25">
      <c r="BU465" s="57"/>
    </row>
    <row r="466" spans="73:73" s="17" customFormat="1" x14ac:dyDescent="0.25">
      <c r="BU466" s="57"/>
    </row>
    <row r="467" spans="73:73" s="17" customFormat="1" x14ac:dyDescent="0.25">
      <c r="BU467" s="57"/>
    </row>
    <row r="468" spans="73:73" s="17" customFormat="1" x14ac:dyDescent="0.25">
      <c r="BU468" s="57"/>
    </row>
    <row r="469" spans="73:73" s="17" customFormat="1" x14ac:dyDescent="0.25">
      <c r="BU469" s="57"/>
    </row>
    <row r="470" spans="73:73" s="17" customFormat="1" x14ac:dyDescent="0.25">
      <c r="BU470" s="57"/>
    </row>
    <row r="471" spans="73:73" s="17" customFormat="1" x14ac:dyDescent="0.25">
      <c r="BU471" s="57"/>
    </row>
    <row r="472" spans="73:73" s="17" customFormat="1" x14ac:dyDescent="0.25">
      <c r="BU472" s="57"/>
    </row>
    <row r="473" spans="73:73" s="17" customFormat="1" x14ac:dyDescent="0.25">
      <c r="BU473" s="57"/>
    </row>
    <row r="474" spans="73:73" s="17" customFormat="1" x14ac:dyDescent="0.25">
      <c r="BU474" s="57"/>
    </row>
    <row r="475" spans="73:73" s="17" customFormat="1" x14ac:dyDescent="0.25">
      <c r="BU475" s="57"/>
    </row>
    <row r="476" spans="73:73" s="17" customFormat="1" x14ac:dyDescent="0.25">
      <c r="BU476" s="57"/>
    </row>
    <row r="477" spans="73:73" s="17" customFormat="1" x14ac:dyDescent="0.25">
      <c r="BU477" s="57"/>
    </row>
    <row r="478" spans="73:73" s="17" customFormat="1" x14ac:dyDescent="0.25">
      <c r="BU478" s="57"/>
    </row>
    <row r="479" spans="73:73" s="17" customFormat="1" x14ac:dyDescent="0.25">
      <c r="BU479" s="57"/>
    </row>
    <row r="480" spans="73:73" s="17" customFormat="1" x14ac:dyDescent="0.25">
      <c r="BU480" s="57"/>
    </row>
    <row r="481" spans="73:73" s="17" customFormat="1" x14ac:dyDescent="0.25">
      <c r="BU481" s="57"/>
    </row>
    <row r="482" spans="73:73" s="17" customFormat="1" x14ac:dyDescent="0.25">
      <c r="BU482" s="57"/>
    </row>
    <row r="483" spans="73:73" s="17" customFormat="1" x14ac:dyDescent="0.25">
      <c r="BU483" s="57"/>
    </row>
    <row r="484" spans="73:73" s="17" customFormat="1" x14ac:dyDescent="0.25">
      <c r="BU484" s="57"/>
    </row>
    <row r="485" spans="73:73" s="17" customFormat="1" x14ac:dyDescent="0.25">
      <c r="BU485" s="57"/>
    </row>
    <row r="486" spans="73:73" s="17" customFormat="1" x14ac:dyDescent="0.25">
      <c r="BU486" s="57"/>
    </row>
    <row r="487" spans="73:73" s="17" customFormat="1" x14ac:dyDescent="0.25">
      <c r="BU487" s="57"/>
    </row>
    <row r="488" spans="73:73" s="17" customFormat="1" x14ac:dyDescent="0.25">
      <c r="BU488" s="57"/>
    </row>
    <row r="489" spans="73:73" s="17" customFormat="1" x14ac:dyDescent="0.25">
      <c r="BU489" s="57"/>
    </row>
    <row r="490" spans="73:73" s="17" customFormat="1" x14ac:dyDescent="0.25">
      <c r="BU490" s="57"/>
    </row>
    <row r="491" spans="73:73" s="17" customFormat="1" x14ac:dyDescent="0.25">
      <c r="BU491" s="57"/>
    </row>
    <row r="492" spans="73:73" s="17" customFormat="1" x14ac:dyDescent="0.25">
      <c r="BU492" s="57"/>
    </row>
    <row r="493" spans="73:73" s="17" customFormat="1" x14ac:dyDescent="0.25">
      <c r="BU493" s="57"/>
    </row>
    <row r="494" spans="73:73" s="17" customFormat="1" x14ac:dyDescent="0.25">
      <c r="BU494" s="57"/>
    </row>
    <row r="495" spans="73:73" s="17" customFormat="1" x14ac:dyDescent="0.25">
      <c r="BU495" s="57"/>
    </row>
    <row r="496" spans="73:73" s="17" customFormat="1" x14ac:dyDescent="0.25">
      <c r="BU496" s="57"/>
    </row>
    <row r="497" spans="73:73" s="17" customFormat="1" x14ac:dyDescent="0.25">
      <c r="BU497" s="57"/>
    </row>
    <row r="498" spans="73:73" s="17" customFormat="1" x14ac:dyDescent="0.25">
      <c r="BU498" s="57"/>
    </row>
    <row r="499" spans="73:73" s="17" customFormat="1" x14ac:dyDescent="0.25">
      <c r="BU499" s="57"/>
    </row>
    <row r="500" spans="73:73" s="17" customFormat="1" x14ac:dyDescent="0.25">
      <c r="BU500" s="57"/>
    </row>
    <row r="501" spans="73:73" s="17" customFormat="1" x14ac:dyDescent="0.25">
      <c r="BU501" s="57"/>
    </row>
    <row r="502" spans="73:73" s="17" customFormat="1" x14ac:dyDescent="0.25">
      <c r="BU502" s="57"/>
    </row>
    <row r="503" spans="73:73" s="17" customFormat="1" x14ac:dyDescent="0.25">
      <c r="BU503" s="57"/>
    </row>
    <row r="504" spans="73:73" s="17" customFormat="1" x14ac:dyDescent="0.25">
      <c r="BU504" s="57"/>
    </row>
    <row r="505" spans="73:73" s="17" customFormat="1" x14ac:dyDescent="0.25">
      <c r="BU505" s="57"/>
    </row>
    <row r="506" spans="73:73" s="17" customFormat="1" x14ac:dyDescent="0.25">
      <c r="BU506" s="57"/>
    </row>
    <row r="507" spans="73:73" s="17" customFormat="1" x14ac:dyDescent="0.25">
      <c r="BU507" s="57"/>
    </row>
    <row r="508" spans="73:73" s="17" customFormat="1" x14ac:dyDescent="0.25">
      <c r="BU508" s="57"/>
    </row>
  </sheetData>
  <mergeCells count="54">
    <mergeCell ref="CW3:CW5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A3:A5"/>
    <mergeCell ref="B3:B5"/>
    <mergeCell ref="C3:C5"/>
    <mergeCell ref="E3:L3"/>
    <mergeCell ref="G4:H4"/>
    <mergeCell ref="K4:L4"/>
    <mergeCell ref="D3:D5"/>
    <mergeCell ref="E4:F4"/>
    <mergeCell ref="I4: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W4:BX4"/>
    <mergeCell ref="BM4:BN4"/>
    <mergeCell ref="BO4:BP4"/>
    <mergeCell ref="BQ4:BR4"/>
    <mergeCell ref="BS4:BT4"/>
    <mergeCell ref="BU4:B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7"/>
  <sheetViews>
    <sheetView zoomScale="80" zoomScaleNormal="80" workbookViewId="0">
      <selection activeCell="D22" sqref="D22"/>
    </sheetView>
  </sheetViews>
  <sheetFormatPr defaultRowHeight="15" x14ac:dyDescent="0.25"/>
  <cols>
    <col min="5" max="11" width="13.7109375" customWidth="1"/>
    <col min="12" max="12" width="24.140625" customWidth="1"/>
  </cols>
  <sheetData>
    <row r="2" spans="1:12" x14ac:dyDescent="0.25">
      <c r="A2" s="1" t="s">
        <v>39</v>
      </c>
    </row>
    <row r="3" spans="1:12" s="7" customFormat="1" ht="141.75" customHeight="1" x14ac:dyDescent="0.25">
      <c r="A3" s="77" t="s">
        <v>28</v>
      </c>
      <c r="B3" s="77" t="s">
        <v>29</v>
      </c>
      <c r="C3" s="77" t="s">
        <v>30</v>
      </c>
      <c r="D3" s="77" t="s">
        <v>31</v>
      </c>
      <c r="E3" s="78" t="s">
        <v>52</v>
      </c>
      <c r="F3" s="79"/>
      <c r="G3" s="79"/>
      <c r="H3" s="79"/>
      <c r="I3" s="79"/>
      <c r="J3" s="79"/>
      <c r="K3" s="79"/>
      <c r="L3" s="87" t="s">
        <v>32</v>
      </c>
    </row>
    <row r="4" spans="1:12" x14ac:dyDescent="0.25">
      <c r="A4" s="77"/>
      <c r="B4" s="77"/>
      <c r="C4" s="77"/>
      <c r="D4" s="77"/>
      <c r="E4" s="85" t="s">
        <v>33</v>
      </c>
      <c r="F4" s="86"/>
      <c r="G4" s="86" t="s">
        <v>34</v>
      </c>
      <c r="H4" s="86"/>
      <c r="I4" s="2" t="s">
        <v>35</v>
      </c>
      <c r="J4" s="86" t="s">
        <v>36</v>
      </c>
      <c r="K4" s="86"/>
      <c r="L4" s="88"/>
    </row>
    <row r="5" spans="1:12" ht="30" x14ac:dyDescent="0.25">
      <c r="A5" s="77"/>
      <c r="B5" s="77"/>
      <c r="C5" s="77"/>
      <c r="D5" s="77"/>
      <c r="E5" s="3" t="s">
        <v>37</v>
      </c>
      <c r="F5" s="3" t="s">
        <v>38</v>
      </c>
      <c r="G5" s="3" t="s">
        <v>37</v>
      </c>
      <c r="H5" s="3" t="s">
        <v>38</v>
      </c>
      <c r="I5" s="2"/>
      <c r="J5" s="3" t="s">
        <v>37</v>
      </c>
      <c r="K5" s="3" t="s">
        <v>38</v>
      </c>
      <c r="L5" s="89"/>
    </row>
    <row r="6" spans="1:12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x14ac:dyDescent="0.25">
      <c r="A7" s="83" t="s">
        <v>110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</row>
  </sheetData>
  <mergeCells count="10">
    <mergeCell ref="A7:L7"/>
    <mergeCell ref="E4:F4"/>
    <mergeCell ref="G4:H4"/>
    <mergeCell ref="J4:K4"/>
    <mergeCell ref="L3:L5"/>
    <mergeCell ref="A3:A5"/>
    <mergeCell ref="B3:B5"/>
    <mergeCell ref="C3:C5"/>
    <mergeCell ref="D3:D5"/>
    <mergeCell ref="E3:K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"/>
  <sheetViews>
    <sheetView workbookViewId="0">
      <selection activeCell="D22" sqref="D22"/>
    </sheetView>
  </sheetViews>
  <sheetFormatPr defaultRowHeight="15" x14ac:dyDescent="0.25"/>
  <cols>
    <col min="1" max="1" width="6" customWidth="1"/>
    <col min="2" max="5" width="18.28515625" customWidth="1"/>
  </cols>
  <sheetData>
    <row r="1" spans="1:5" x14ac:dyDescent="0.25">
      <c r="A1" t="s">
        <v>53</v>
      </c>
    </row>
    <row r="2" spans="1:5" x14ac:dyDescent="0.25">
      <c r="A2" s="2" t="s">
        <v>40</v>
      </c>
      <c r="B2" s="14"/>
      <c r="C2" s="14"/>
      <c r="D2" s="14"/>
      <c r="E2" s="1"/>
    </row>
    <row r="3" spans="1:5" s="7" customFormat="1" ht="90" x14ac:dyDescent="0.25">
      <c r="A3" s="6"/>
      <c r="B3" s="22" t="s">
        <v>41</v>
      </c>
      <c r="C3" s="22" t="s">
        <v>42</v>
      </c>
      <c r="D3" s="22" t="s">
        <v>43</v>
      </c>
      <c r="E3" s="22" t="s">
        <v>44</v>
      </c>
    </row>
    <row r="4" spans="1:5" x14ac:dyDescent="0.25">
      <c r="A4" s="9">
        <v>1</v>
      </c>
      <c r="B4" s="9"/>
      <c r="C4" s="9"/>
      <c r="D4" s="9"/>
      <c r="E4" s="9"/>
    </row>
    <row r="5" spans="1:5" x14ac:dyDescent="0.25">
      <c r="A5" s="83" t="s">
        <v>111</v>
      </c>
      <c r="B5" s="84"/>
      <c r="C5" s="84"/>
      <c r="D5" s="84"/>
      <c r="E5" s="85"/>
    </row>
    <row r="6" spans="1:5" x14ac:dyDescent="0.25">
      <c r="A6" s="20"/>
      <c r="B6" s="20"/>
      <c r="C6" s="20"/>
      <c r="D6" s="20"/>
      <c r="E6" s="20"/>
    </row>
  </sheetData>
  <mergeCells count="1"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8"/>
  <sheetViews>
    <sheetView tabSelected="1" workbookViewId="0">
      <selection activeCell="I18" sqref="I18"/>
    </sheetView>
  </sheetViews>
  <sheetFormatPr defaultRowHeight="15" x14ac:dyDescent="0.25"/>
  <cols>
    <col min="1" max="1" width="6" style="19" customWidth="1"/>
    <col min="2" max="2" width="28" style="19" customWidth="1"/>
    <col min="3" max="3" width="23.28515625" style="19" customWidth="1"/>
    <col min="4" max="4" width="22.5703125" style="19" customWidth="1"/>
    <col min="5" max="5" width="23.7109375" style="19" customWidth="1"/>
    <col min="6" max="6" width="24.28515625" style="19" customWidth="1"/>
    <col min="7" max="16384" width="9.140625" style="19"/>
  </cols>
  <sheetData>
    <row r="1" spans="1:6" x14ac:dyDescent="0.25">
      <c r="A1" s="19" t="s">
        <v>54</v>
      </c>
    </row>
    <row r="2" spans="1:6" x14ac:dyDescent="0.25">
      <c r="A2" s="90" t="s">
        <v>45</v>
      </c>
      <c r="B2" s="91"/>
      <c r="C2" s="92"/>
      <c r="D2" s="21"/>
    </row>
    <row r="3" spans="1:6" ht="60" x14ac:dyDescent="0.25">
      <c r="A3" s="6"/>
      <c r="B3" s="22" t="s">
        <v>46</v>
      </c>
      <c r="C3" s="22" t="s">
        <v>47</v>
      </c>
      <c r="D3" s="22" t="s">
        <v>48</v>
      </c>
      <c r="E3" s="22" t="s">
        <v>49</v>
      </c>
      <c r="F3" s="22" t="s">
        <v>50</v>
      </c>
    </row>
    <row r="4" spans="1:6" x14ac:dyDescent="0.25">
      <c r="A4" s="6">
        <v>1</v>
      </c>
      <c r="B4" s="6" t="s">
        <v>104</v>
      </c>
      <c r="C4" s="68">
        <v>23212563.291999999</v>
      </c>
      <c r="D4" s="44" t="s">
        <v>136</v>
      </c>
      <c r="E4" s="6" t="s">
        <v>130</v>
      </c>
      <c r="F4" s="68">
        <v>23643860.197000001</v>
      </c>
    </row>
    <row r="5" spans="1:6" x14ac:dyDescent="0.25">
      <c r="A5" s="6">
        <v>2</v>
      </c>
      <c r="B5" s="6" t="s">
        <v>105</v>
      </c>
      <c r="C5" s="68">
        <v>1.2E-2</v>
      </c>
      <c r="D5" s="44" t="s">
        <v>137</v>
      </c>
      <c r="E5" s="6" t="s">
        <v>130</v>
      </c>
      <c r="F5" s="68">
        <v>2.35E-2</v>
      </c>
    </row>
    <row r="6" spans="1:6" x14ac:dyDescent="0.25">
      <c r="A6" s="6">
        <v>3</v>
      </c>
      <c r="B6" s="6" t="s">
        <v>106</v>
      </c>
      <c r="C6" s="68">
        <v>1082.3</v>
      </c>
      <c r="D6" s="44" t="s">
        <v>135</v>
      </c>
      <c r="E6" s="6" t="s">
        <v>130</v>
      </c>
      <c r="F6" s="68">
        <v>1233.7</v>
      </c>
    </row>
    <row r="7" spans="1:6" ht="105" x14ac:dyDescent="0.25">
      <c r="A7" s="6">
        <v>4</v>
      </c>
      <c r="B7" s="40" t="s">
        <v>107</v>
      </c>
      <c r="C7" s="68">
        <v>655918102.99600005</v>
      </c>
      <c r="D7" s="45" t="s">
        <v>134</v>
      </c>
      <c r="E7" s="6" t="s">
        <v>130</v>
      </c>
      <c r="F7" s="68">
        <v>661682436.96300006</v>
      </c>
    </row>
    <row r="8" spans="1:6" x14ac:dyDescent="0.25">
      <c r="A8" s="6"/>
      <c r="B8" s="6"/>
      <c r="C8" s="6"/>
      <c r="D8" s="6"/>
      <c r="E8" s="6"/>
      <c r="F8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БОФ</vt:lpstr>
      <vt:lpstr>выбросы</vt:lpstr>
      <vt:lpstr>сбросы</vt:lpstr>
      <vt:lpstr>сбросы за пределы</vt:lpstr>
      <vt:lpstr>отходы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 Толепбекова</dc:creator>
  <cp:lastModifiedBy>Чингиз Адиханов</cp:lastModifiedBy>
  <dcterms:created xsi:type="dcterms:W3CDTF">2022-01-11T07:11:36Z</dcterms:created>
  <dcterms:modified xsi:type="dcterms:W3CDTF">2023-03-28T08:41:52Z</dcterms:modified>
</cp:coreProperties>
</file>