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activeTab="4"/>
  </bookViews>
  <sheets>
    <sheet name="КОФ" sheetId="1" r:id="rId1"/>
    <sheet name=" выбр КОФ" sheetId="2" r:id="rId2"/>
    <sheet name="сброс КОФ" sheetId="9" r:id="rId3"/>
    <sheet name=" сточн водах КОФ" sheetId="4" r:id="rId4"/>
    <sheet name="отх КОФ" sheetId="8" r:id="rId5"/>
  </sheets>
  <definedNames>
    <definedName name="_xlnm._FilterDatabase" localSheetId="4" hidden="1">'отх КОФ'!$E$2:$E$25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T52" i="2" l="1"/>
  <c r="R51" i="2"/>
  <c r="R50" i="2"/>
  <c r="R46" i="2"/>
  <c r="R38" i="2"/>
  <c r="R36" i="2"/>
  <c r="R35" i="2"/>
  <c r="R24" i="2"/>
  <c r="R14" i="2"/>
  <c r="R9" i="2"/>
  <c r="P46" i="2"/>
  <c r="P38" i="2"/>
  <c r="P36" i="2"/>
  <c r="P35" i="2"/>
  <c r="P24" i="2"/>
  <c r="P20" i="2"/>
  <c r="P17" i="2"/>
  <c r="P14" i="2"/>
  <c r="P9" i="2"/>
  <c r="N46" i="2"/>
  <c r="N30" i="2"/>
  <c r="N23" i="2"/>
  <c r="N20" i="2"/>
  <c r="N19" i="2"/>
  <c r="N16" i="2"/>
  <c r="N12" i="2"/>
  <c r="N11" i="2"/>
  <c r="N9" i="2"/>
  <c r="N8" i="2"/>
  <c r="L46" i="2"/>
  <c r="L30" i="2"/>
  <c r="L23" i="2"/>
  <c r="L19" i="2"/>
  <c r="L16" i="2"/>
  <c r="L12" i="2"/>
  <c r="L11" i="2"/>
  <c r="L9" i="2"/>
  <c r="L8" i="2"/>
  <c r="J46" i="2"/>
  <c r="J38" i="2"/>
  <c r="J36" i="2"/>
  <c r="J35" i="2"/>
  <c r="J30" i="2"/>
  <c r="J24" i="2"/>
  <c r="J23" i="2"/>
  <c r="J20" i="2"/>
  <c r="J19" i="2"/>
  <c r="J16" i="2"/>
  <c r="J14" i="2"/>
  <c r="J12" i="2"/>
  <c r="J11" i="2"/>
  <c r="J9" i="2"/>
  <c r="J8" i="2"/>
  <c r="H46" i="2"/>
  <c r="H38" i="2"/>
  <c r="H36" i="2"/>
  <c r="H35" i="2"/>
  <c r="H30" i="2"/>
  <c r="H24" i="2"/>
  <c r="H23" i="2"/>
  <c r="H20" i="2"/>
  <c r="H19" i="2"/>
  <c r="H16" i="2"/>
  <c r="H14" i="2"/>
  <c r="H12" i="2"/>
  <c r="H11" i="2"/>
  <c r="H8" i="2"/>
  <c r="H9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C23" i="1" l="1"/>
</calcChain>
</file>

<file path=xl/comments1.xml><?xml version="1.0" encoding="utf-8"?>
<comments xmlns="http://schemas.openxmlformats.org/spreadsheetml/2006/main">
  <authors>
    <author>Автор</author>
  </authors>
  <commentList>
    <comment ref="G46" authorId="0" shapeId="0">
      <text>
        <r>
          <rPr>
            <sz val="9"/>
            <color indexed="81"/>
            <rFont val="Tahoma"/>
            <family val="2"/>
            <charset val="204"/>
          </rPr>
          <t>сверхлимит по замерам проверка гос органа</t>
        </r>
      </text>
    </comment>
  </commentList>
</comments>
</file>

<file path=xl/sharedStrings.xml><?xml version="1.0" encoding="utf-8"?>
<sst xmlns="http://schemas.openxmlformats.org/spreadsheetml/2006/main" count="213" uniqueCount="131">
  <si>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</si>
  <si>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</si>
  <si>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</si>
  <si>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</si>
  <si>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</si>
  <si>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</si>
  <si>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</si>
  <si>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</si>
  <si>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</si>
  <si>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</si>
  <si>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</si>
  <si>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</si>
  <si>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</si>
  <si>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</si>
  <si>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</si>
  <si>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</si>
  <si>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</si>
  <si>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</si>
  <si>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</si>
  <si>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</si>
  <si>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</si>
  <si>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</si>
  <si>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</si>
  <si>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</si>
  <si>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</si>
  <si>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</si>
  <si>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</si>
  <si>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</si>
  <si>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</si>
  <si>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</si>
  <si>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</si>
  <si>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</si>
  <si>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</si>
  <si>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</si>
  <si>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Перенос загрязнителей в сточных водах за пределы участка*</t>
  </si>
  <si>
    <t xml:space="preserve"> Данные об объемах отходов 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</si>
  <si>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</si>
  <si>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</si>
  <si>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</si>
  <si>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</si>
  <si>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</si>
  <si>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</si>
  <si>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</si>
  <si>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</si>
  <si>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</si>
  <si>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</si>
  <si>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>Сероводород</t>
  </si>
  <si>
    <t>Оксид углерода</t>
  </si>
  <si>
    <t>Р</t>
  </si>
  <si>
    <t>060441000268</t>
  </si>
  <si>
    <t>Серы диоксид</t>
  </si>
  <si>
    <t>Оксид цинка</t>
  </si>
  <si>
    <t>Сероуглерод</t>
  </si>
  <si>
    <t>Фтористые соединения газообразные</t>
  </si>
  <si>
    <t xml:space="preserve">Хвосты обогащения </t>
  </si>
  <si>
    <t>630-08-0</t>
  </si>
  <si>
    <t>7440-50-8</t>
  </si>
  <si>
    <t>Карагайлинская обогатительная фабрика</t>
  </si>
  <si>
    <t xml:space="preserve">Обогащение медной руды </t>
  </si>
  <si>
    <t>Кадмий оксид</t>
  </si>
  <si>
    <t>Медь (II) сульфат</t>
  </si>
  <si>
    <t>Медь (II)оксид</t>
  </si>
  <si>
    <t>Алюминий оксид</t>
  </si>
  <si>
    <t>Железо (I,II) оксид</t>
  </si>
  <si>
    <t>Кальций оксид</t>
  </si>
  <si>
    <t>Марганец и его соединения</t>
  </si>
  <si>
    <t>Главный корпус</t>
  </si>
  <si>
    <t>49.381627 с.ш., 75.725928 в.д.</t>
  </si>
  <si>
    <t>диНатрий карбонат</t>
  </si>
  <si>
    <t>Свинец и его неорган.соединения</t>
  </si>
  <si>
    <t>Хром</t>
  </si>
  <si>
    <t>Цинк сульфат</t>
  </si>
  <si>
    <t>Барий и его соли</t>
  </si>
  <si>
    <t>Калия йодид</t>
  </si>
  <si>
    <t>диНатрий сульфид</t>
  </si>
  <si>
    <t>Сурьма</t>
  </si>
  <si>
    <t>Азотная кислота</t>
  </si>
  <si>
    <t>Аммиак</t>
  </si>
  <si>
    <t>Гидрохлорид</t>
  </si>
  <si>
    <t>Серная кислота</t>
  </si>
  <si>
    <t>Мышьяк, неорган соединения</t>
  </si>
  <si>
    <t>Углерод</t>
  </si>
  <si>
    <t>Фториды неорган плохо растворимые</t>
  </si>
  <si>
    <t>Фториды неорган хорошо растворимые</t>
  </si>
  <si>
    <t>Бенз/а/пирен</t>
  </si>
  <si>
    <t>Бутан-1-ол</t>
  </si>
  <si>
    <t>4-Метил-2пентанол</t>
  </si>
  <si>
    <t>Этоксиэтан</t>
  </si>
  <si>
    <t>Формальдегид</t>
  </si>
  <si>
    <t>Бутилдитикарбонат калия</t>
  </si>
  <si>
    <t>Углеводороды С12-С19</t>
  </si>
  <si>
    <t>Пыль неорган.:70-20%</t>
  </si>
  <si>
    <t>Натрий силикат</t>
  </si>
  <si>
    <t>диНатрий тетраборат декагидрат</t>
  </si>
  <si>
    <t>Калий нитрит</t>
  </si>
  <si>
    <t>Корпус крупного дробления</t>
  </si>
  <si>
    <t>Корпус среднего и мелкого дробления</t>
  </si>
  <si>
    <t>Склад готовой продукции</t>
  </si>
  <si>
    <t>Временный склад руды</t>
  </si>
  <si>
    <t>Блок вспомогательных цехов</t>
  </si>
  <si>
    <t>Ремонтно-строительные работы</t>
  </si>
  <si>
    <t>Азота (IV) диоксид</t>
  </si>
  <si>
    <t>Азот (II) оксид</t>
  </si>
  <si>
    <t>Диметилбензол</t>
  </si>
  <si>
    <t>Уайт-спирит</t>
  </si>
  <si>
    <t>Пыль древесная</t>
  </si>
  <si>
    <t>Столярный цех</t>
  </si>
  <si>
    <t>филиала ТОО "Корпорация Казахмыс"</t>
  </si>
  <si>
    <t>ПО "Карагандацветмет"</t>
  </si>
  <si>
    <t>исп.: Дузбаева А. К.</t>
  </si>
  <si>
    <t>т.: 95 71 18</t>
  </si>
  <si>
    <t>green6@kazakhmys.kz</t>
  </si>
  <si>
    <t>Карагандинская область,
г. Караганда, пр. Строителей, 35а</t>
  </si>
  <si>
    <t>Каркаралинский район, пос. Карагайлы, промплощадка</t>
  </si>
  <si>
    <t>Карагандинская</t>
  </si>
  <si>
    <t>7439-92-1</t>
  </si>
  <si>
    <t>7440-66-6</t>
  </si>
  <si>
    <t>7440-47-3</t>
  </si>
  <si>
    <t>7664-41-7</t>
  </si>
  <si>
    <t>7440-38-2</t>
  </si>
  <si>
    <t>7440-43-9</t>
  </si>
  <si>
    <t>Данные о сбросах сточных вод в воду за отчетный год</t>
  </si>
  <si>
    <t>Стационарный источник</t>
  </si>
  <si>
    <t>Объем, кг/год *</t>
  </si>
  <si>
    <t>*сбросов в водные объекты отсутствуют.</t>
  </si>
  <si>
    <t>10024-97-2</t>
  </si>
  <si>
    <t>Нурекин Д. К.</t>
  </si>
  <si>
    <t>2022 год</t>
  </si>
  <si>
    <t>И.о. генерального директора</t>
  </si>
  <si>
    <t>Д. К. Нурекин</t>
  </si>
  <si>
    <t>01 03 06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</si>
</sst>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1" applyFont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6@kazakhmys.k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view="pageBreakPreview" topLeftCell="A7" zoomScale="90" zoomScaleNormal="100" zoomScaleSheetLayoutView="90" workbookViewId="0">
      <selection activeCell="A20" sqref="A20:C20"/>
    </sheetView>
  </sheetViews>
  <sheetFormatPr defaultRowHeight="15" x14ac:dyDescent="0.25"/>
  <cols>
    <col min="1" max="1" width="3.5703125" bestFit="1" customWidth="1"/>
    <col min="2" max="2" width="58.7109375" customWidth="1"/>
    <col min="3" max="3" width="38.7109375" customWidth="1"/>
  </cols>
  <sheetData>
    <row r="2" spans="1:3" x14ac:dyDescent="0.25">
      <c r="A2" s="49" t="s">
        <v>2</v>
      </c>
      <c r="B2" s="49"/>
      <c r="C2" s="49"/>
    </row>
    <row r="3" spans="1:3" ht="25.5" x14ac:dyDescent="0.25">
      <c r="A3" s="8" t="s">
        <v>0</v>
      </c>
      <c r="B3" s="8" t="s">
        <v>3</v>
      </c>
      <c r="C3" s="8" t="s">
        <v>4</v>
      </c>
    </row>
    <row r="4" spans="1:3" x14ac:dyDescent="0.25">
      <c r="A4" s="3">
        <v>1</v>
      </c>
      <c r="B4" s="3">
        <v>2</v>
      </c>
      <c r="C4" s="3">
        <v>3</v>
      </c>
    </row>
    <row r="5" spans="1:3" ht="24" customHeight="1" x14ac:dyDescent="0.25">
      <c r="A5" s="10">
        <v>1</v>
      </c>
      <c r="B5" s="14" t="s">
        <v>5</v>
      </c>
      <c r="C5" s="5" t="s">
        <v>57</v>
      </c>
    </row>
    <row r="6" spans="1:3" x14ac:dyDescent="0.25">
      <c r="A6" s="10">
        <v>2</v>
      </c>
      <c r="B6" s="14" t="s">
        <v>6</v>
      </c>
      <c r="C6" s="19" t="s">
        <v>49</v>
      </c>
    </row>
    <row r="7" spans="1:3" ht="34.5" customHeight="1" x14ac:dyDescent="0.25">
      <c r="A7" s="10">
        <v>3</v>
      </c>
      <c r="B7" s="14" t="s">
        <v>7</v>
      </c>
      <c r="C7" s="5" t="s">
        <v>112</v>
      </c>
    </row>
    <row r="8" spans="1:3" x14ac:dyDescent="0.25">
      <c r="A8" s="10">
        <v>4</v>
      </c>
      <c r="B8" s="14" t="s">
        <v>8</v>
      </c>
      <c r="C8" s="5" t="s">
        <v>126</v>
      </c>
    </row>
    <row r="9" spans="1:3" ht="54.75" customHeight="1" x14ac:dyDescent="0.25">
      <c r="A9" s="10">
        <v>5</v>
      </c>
      <c r="B9" s="14" t="s">
        <v>9</v>
      </c>
      <c r="C9" s="34" t="s">
        <v>44</v>
      </c>
    </row>
    <row r="10" spans="1:3" x14ac:dyDescent="0.25">
      <c r="A10" s="10">
        <v>6</v>
      </c>
      <c r="B10" s="14" t="s">
        <v>10</v>
      </c>
      <c r="C10" s="5" t="s">
        <v>127</v>
      </c>
    </row>
    <row r="11" spans="1:3" ht="29.25" customHeight="1" x14ac:dyDescent="0.25">
      <c r="A11" s="10">
        <v>7</v>
      </c>
      <c r="B11" s="14" t="s">
        <v>11</v>
      </c>
      <c r="C11" s="5" t="s">
        <v>44</v>
      </c>
    </row>
    <row r="12" spans="1:3" ht="30" x14ac:dyDescent="0.25">
      <c r="A12" s="10">
        <v>8</v>
      </c>
      <c r="B12" s="14" t="s">
        <v>12</v>
      </c>
      <c r="C12" s="5" t="s">
        <v>113</v>
      </c>
    </row>
    <row r="13" spans="1:3" x14ac:dyDescent="0.25">
      <c r="A13" s="10" t="s">
        <v>13</v>
      </c>
      <c r="B13" s="14" t="s">
        <v>14</v>
      </c>
      <c r="C13" s="5" t="s">
        <v>114</v>
      </c>
    </row>
    <row r="14" spans="1:3" x14ac:dyDescent="0.25">
      <c r="A14" s="10" t="s">
        <v>15</v>
      </c>
      <c r="B14" s="14" t="s">
        <v>16</v>
      </c>
      <c r="C14" s="5" t="s">
        <v>44</v>
      </c>
    </row>
    <row r="15" spans="1:3" x14ac:dyDescent="0.25">
      <c r="A15" s="10" t="s">
        <v>17</v>
      </c>
      <c r="B15" s="14" t="s">
        <v>18</v>
      </c>
      <c r="C15" s="5" t="s">
        <v>44</v>
      </c>
    </row>
    <row r="16" spans="1:3" x14ac:dyDescent="0.25">
      <c r="A16" s="10" t="s">
        <v>19</v>
      </c>
      <c r="B16" s="14" t="s">
        <v>20</v>
      </c>
      <c r="C16" s="5" t="s">
        <v>44</v>
      </c>
    </row>
    <row r="17" spans="1:3" ht="41.25" customHeight="1" x14ac:dyDescent="0.25">
      <c r="A17" s="10">
        <v>9</v>
      </c>
      <c r="B17" s="15" t="s">
        <v>21</v>
      </c>
      <c r="C17" s="34" t="s">
        <v>67</v>
      </c>
    </row>
    <row r="18" spans="1:3" ht="25.5" x14ac:dyDescent="0.25">
      <c r="A18" s="10">
        <v>10</v>
      </c>
      <c r="B18" s="15" t="s">
        <v>22</v>
      </c>
      <c r="C18" s="35"/>
    </row>
    <row r="19" spans="1:3" ht="18.75" customHeight="1" thickBot="1" x14ac:dyDescent="0.3">
      <c r="A19" s="12"/>
      <c r="B19" s="13"/>
      <c r="C19" s="11"/>
    </row>
    <row r="20" spans="1:3" ht="17.25" customHeight="1" x14ac:dyDescent="0.25">
      <c r="A20" s="46" t="s">
        <v>23</v>
      </c>
      <c r="B20" s="47"/>
      <c r="C20" s="48"/>
    </row>
    <row r="21" spans="1:3" ht="25.5" x14ac:dyDescent="0.25">
      <c r="A21" s="8" t="s">
        <v>0</v>
      </c>
      <c r="B21" s="8" t="s">
        <v>3</v>
      </c>
      <c r="C21" s="8" t="s">
        <v>4</v>
      </c>
    </row>
    <row r="22" spans="1:3" x14ac:dyDescent="0.25">
      <c r="A22" s="3">
        <v>1</v>
      </c>
      <c r="B22" s="3">
        <v>2</v>
      </c>
      <c r="C22" s="3">
        <v>3</v>
      </c>
    </row>
    <row r="23" spans="1:3" ht="30" x14ac:dyDescent="0.25">
      <c r="A23" s="10">
        <v>1</v>
      </c>
      <c r="B23" s="6" t="s">
        <v>24</v>
      </c>
      <c r="C23" s="5" t="str">
        <f>C5</f>
        <v>Карагайлинская обогатительная фабрика</v>
      </c>
    </row>
    <row r="24" spans="1:3" x14ac:dyDescent="0.25">
      <c r="A24" s="10">
        <v>2</v>
      </c>
      <c r="B24" s="6" t="s">
        <v>25</v>
      </c>
      <c r="C24" s="5" t="s">
        <v>58</v>
      </c>
    </row>
    <row r="27" spans="1:3" ht="15.75" x14ac:dyDescent="0.25">
      <c r="B27" s="38" t="s">
        <v>128</v>
      </c>
      <c r="C27" s="39"/>
    </row>
    <row r="28" spans="1:3" ht="15.75" x14ac:dyDescent="0.25">
      <c r="B28" s="38" t="s">
        <v>107</v>
      </c>
      <c r="C28" s="39"/>
    </row>
    <row r="29" spans="1:3" ht="15.75" x14ac:dyDescent="0.25">
      <c r="B29" s="38" t="s">
        <v>108</v>
      </c>
      <c r="C29" s="40" t="s">
        <v>129</v>
      </c>
    </row>
    <row r="30" spans="1:3" ht="15.75" x14ac:dyDescent="0.25">
      <c r="B30" s="39"/>
      <c r="C30" s="39"/>
    </row>
    <row r="31" spans="1:3" ht="15.75" x14ac:dyDescent="0.25">
      <c r="B31" s="39"/>
      <c r="C31" s="39"/>
    </row>
    <row r="32" spans="1:3" ht="15.75" x14ac:dyDescent="0.25">
      <c r="B32" s="41" t="s">
        <v>109</v>
      </c>
      <c r="C32" s="39"/>
    </row>
    <row r="33" spans="2:3" ht="15.75" x14ac:dyDescent="0.25">
      <c r="B33" s="41" t="s">
        <v>110</v>
      </c>
      <c r="C33" s="39"/>
    </row>
    <row r="34" spans="2:3" ht="15.75" x14ac:dyDescent="0.25">
      <c r="B34" s="42" t="s">
        <v>111</v>
      </c>
      <c r="C34" s="39"/>
    </row>
  </sheetData>
  <mergeCells count="2">
    <mergeCell ref="A20:C20"/>
    <mergeCell ref="A2:C2"/>
  </mergeCells>
  <hyperlinks>
    <hyperlink ref="B34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V54"/>
  <sheetViews>
    <sheetView view="pageBreakPreview" zoomScale="80" zoomScaleNormal="78" zoomScaleSheetLayoutView="80" workbookViewId="0">
      <pane xSplit="5" ySplit="6" topLeftCell="F19" activePane="bottomRight" state="frozen"/>
      <selection pane="topRight" activeCell="F1" sqref="F1"/>
      <selection pane="bottomLeft" activeCell="A7" sqref="A7"/>
      <selection pane="bottomRight" activeCell="K27" sqref="K27"/>
    </sheetView>
  </sheetViews>
  <sheetFormatPr defaultRowHeight="15" x14ac:dyDescent="0.25"/>
  <cols>
    <col min="1" max="1" width="9.140625" style="2"/>
    <col min="2" max="2" width="11.28515625" style="2" customWidth="1"/>
    <col min="3" max="3" width="14.7109375" style="2" customWidth="1"/>
    <col min="4" max="4" width="12.5703125" style="2" customWidth="1"/>
    <col min="5" max="5" width="20.42578125" style="2" customWidth="1"/>
    <col min="6" max="6" width="12.7109375" style="2" customWidth="1"/>
    <col min="7" max="7" width="13.140625" style="2" customWidth="1"/>
    <col min="8" max="8" width="12.42578125" style="2" customWidth="1"/>
    <col min="9" max="9" width="11.42578125" style="2" customWidth="1"/>
    <col min="10" max="10" width="10.5703125" style="2" customWidth="1"/>
    <col min="11" max="21" width="12.140625" style="2" customWidth="1"/>
    <col min="22" max="22" width="32.85546875" style="2" customWidth="1"/>
    <col min="23" max="16384" width="9.140625" style="2"/>
  </cols>
  <sheetData>
    <row r="2" spans="2:22" ht="19.5" customHeight="1" x14ac:dyDescent="0.25">
      <c r="B2" s="50" t="s">
        <v>26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</row>
    <row r="3" spans="2:22" ht="13.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2:22" ht="30" customHeight="1" x14ac:dyDescent="0.25">
      <c r="B4" s="53" t="s">
        <v>0</v>
      </c>
      <c r="C4" s="53" t="s">
        <v>27</v>
      </c>
      <c r="D4" s="53" t="s">
        <v>28</v>
      </c>
      <c r="E4" s="53" t="s">
        <v>29</v>
      </c>
      <c r="F4" s="59" t="s">
        <v>30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6" t="s">
        <v>31</v>
      </c>
    </row>
    <row r="5" spans="2:22" ht="36.75" customHeight="1" x14ac:dyDescent="0.25">
      <c r="B5" s="53"/>
      <c r="C5" s="53"/>
      <c r="D5" s="53"/>
      <c r="E5" s="53"/>
      <c r="F5" s="54" t="s">
        <v>66</v>
      </c>
      <c r="G5" s="54"/>
      <c r="H5" s="54" t="s">
        <v>95</v>
      </c>
      <c r="I5" s="54"/>
      <c r="J5" s="54" t="s">
        <v>96</v>
      </c>
      <c r="K5" s="54"/>
      <c r="L5" s="54" t="s">
        <v>97</v>
      </c>
      <c r="M5" s="54"/>
      <c r="N5" s="54" t="s">
        <v>98</v>
      </c>
      <c r="O5" s="54"/>
      <c r="P5" s="54" t="s">
        <v>99</v>
      </c>
      <c r="Q5" s="54"/>
      <c r="R5" s="54" t="s">
        <v>100</v>
      </c>
      <c r="S5" s="54"/>
      <c r="T5" s="54" t="s">
        <v>106</v>
      </c>
      <c r="U5" s="54"/>
      <c r="V5" s="57"/>
    </row>
    <row r="6" spans="2:22" ht="30.75" customHeight="1" x14ac:dyDescent="0.25">
      <c r="B6" s="53"/>
      <c r="C6" s="53"/>
      <c r="D6" s="53"/>
      <c r="E6" s="53"/>
      <c r="F6" s="3" t="s">
        <v>32</v>
      </c>
      <c r="G6" s="3" t="s">
        <v>33</v>
      </c>
      <c r="H6" s="3" t="s">
        <v>32</v>
      </c>
      <c r="I6" s="3" t="s">
        <v>33</v>
      </c>
      <c r="J6" s="3" t="s">
        <v>32</v>
      </c>
      <c r="K6" s="3" t="s">
        <v>33</v>
      </c>
      <c r="L6" s="21" t="s">
        <v>32</v>
      </c>
      <c r="M6" s="21" t="s">
        <v>33</v>
      </c>
      <c r="N6" s="25" t="s">
        <v>32</v>
      </c>
      <c r="O6" s="25" t="s">
        <v>33</v>
      </c>
      <c r="P6" s="21" t="s">
        <v>32</v>
      </c>
      <c r="Q6" s="21" t="s">
        <v>33</v>
      </c>
      <c r="R6" s="21" t="s">
        <v>32</v>
      </c>
      <c r="S6" s="21" t="s">
        <v>33</v>
      </c>
      <c r="T6" s="21" t="s">
        <v>32</v>
      </c>
      <c r="U6" s="21" t="s">
        <v>33</v>
      </c>
      <c r="V6" s="58"/>
    </row>
    <row r="7" spans="2:22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21">
        <v>11</v>
      </c>
      <c r="M7" s="21">
        <v>12</v>
      </c>
      <c r="N7" s="25">
        <v>13</v>
      </c>
      <c r="O7" s="25">
        <v>14</v>
      </c>
      <c r="P7" s="21">
        <v>15</v>
      </c>
      <c r="Q7" s="21">
        <v>16</v>
      </c>
      <c r="R7" s="21">
        <v>17</v>
      </c>
      <c r="S7" s="21">
        <v>18</v>
      </c>
      <c r="T7" s="21">
        <v>19</v>
      </c>
      <c r="U7" s="21">
        <v>20</v>
      </c>
      <c r="V7" s="16">
        <v>21</v>
      </c>
    </row>
    <row r="8" spans="2:22" hidden="1" x14ac:dyDescent="0.25">
      <c r="B8" s="30"/>
      <c r="C8" s="30"/>
      <c r="D8" s="30"/>
      <c r="E8" s="23" t="s">
        <v>62</v>
      </c>
      <c r="F8" s="31">
        <f>6.959951573*1000</f>
        <v>6959.9515729999994</v>
      </c>
      <c r="G8" s="24">
        <v>0</v>
      </c>
      <c r="H8" s="24">
        <f>6.3435466*1000</f>
        <v>6343.5465999999997</v>
      </c>
      <c r="I8" s="24">
        <v>0</v>
      </c>
      <c r="J8" s="24">
        <f>0.0231530902*1000</f>
        <v>23.153090200000001</v>
      </c>
      <c r="K8" s="24">
        <v>0</v>
      </c>
      <c r="L8" s="24">
        <f>1.933492*1000</f>
        <v>1933.492</v>
      </c>
      <c r="M8" s="24">
        <v>0</v>
      </c>
      <c r="N8" s="24">
        <f>2.459327888*1000</f>
        <v>2459.3278879999998</v>
      </c>
      <c r="O8" s="24">
        <v>0</v>
      </c>
      <c r="P8" s="24"/>
      <c r="Q8" s="24">
        <v>0</v>
      </c>
      <c r="R8" s="24"/>
      <c r="S8" s="24">
        <v>0</v>
      </c>
      <c r="T8" s="24"/>
      <c r="U8" s="24">
        <v>0</v>
      </c>
      <c r="V8" s="36" t="s">
        <v>48</v>
      </c>
    </row>
    <row r="9" spans="2:22" hidden="1" x14ac:dyDescent="0.25">
      <c r="B9" s="30"/>
      <c r="C9" s="30"/>
      <c r="D9" s="30"/>
      <c r="E9" s="23" t="s">
        <v>63</v>
      </c>
      <c r="F9" s="31">
        <f>15.129389*1000</f>
        <v>15129.388999999999</v>
      </c>
      <c r="G9" s="24">
        <v>0</v>
      </c>
      <c r="H9" s="24">
        <f>13.7073622546*1000</f>
        <v>13707.362254599999</v>
      </c>
      <c r="I9" s="24">
        <v>0</v>
      </c>
      <c r="J9" s="24">
        <f>0.0528159812*1000</f>
        <v>52.815981200000003</v>
      </c>
      <c r="K9" s="24">
        <v>0</v>
      </c>
      <c r="L9" s="24">
        <f>12.457234*1000</f>
        <v>12457.234</v>
      </c>
      <c r="M9" s="24">
        <v>0</v>
      </c>
      <c r="N9" s="24">
        <f>5.304089175*1000</f>
        <v>5304.0891750000001</v>
      </c>
      <c r="O9" s="24">
        <v>0</v>
      </c>
      <c r="P9" s="24">
        <f>0.009988*1000</f>
        <v>9.9879999999999995</v>
      </c>
      <c r="Q9" s="24">
        <v>0</v>
      </c>
      <c r="R9" s="24">
        <f>0.002052*1000</f>
        <v>2.052</v>
      </c>
      <c r="S9" s="24">
        <v>0</v>
      </c>
      <c r="T9" s="24"/>
      <c r="U9" s="24">
        <v>0</v>
      </c>
      <c r="V9" s="36" t="s">
        <v>48</v>
      </c>
    </row>
    <row r="10" spans="2:22" hidden="1" x14ac:dyDescent="0.25">
      <c r="B10" s="30"/>
      <c r="C10" s="30"/>
      <c r="D10" s="30"/>
      <c r="E10" s="23" t="s">
        <v>64</v>
      </c>
      <c r="F10" s="31">
        <f>0.000558*1000</f>
        <v>0.55800000000000005</v>
      </c>
      <c r="G10" s="24">
        <v>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0</v>
      </c>
      <c r="P10" s="24"/>
      <c r="Q10" s="24">
        <v>0</v>
      </c>
      <c r="R10" s="24"/>
      <c r="S10" s="24">
        <v>0</v>
      </c>
      <c r="T10" s="24"/>
      <c r="U10" s="24">
        <v>0</v>
      </c>
      <c r="V10" s="36" t="s">
        <v>48</v>
      </c>
    </row>
    <row r="11" spans="2:22" x14ac:dyDescent="0.25">
      <c r="B11" s="21"/>
      <c r="C11" s="43" t="s">
        <v>120</v>
      </c>
      <c r="D11" s="43">
        <v>2</v>
      </c>
      <c r="E11" s="23" t="s">
        <v>59</v>
      </c>
      <c r="F11" s="31">
        <f>0.0034015*1000</f>
        <v>3.4015</v>
      </c>
      <c r="G11" s="24">
        <v>0</v>
      </c>
      <c r="H11" s="24">
        <f>0.003126858*1000</f>
        <v>3.1268580000000004</v>
      </c>
      <c r="I11" s="24">
        <v>0</v>
      </c>
      <c r="J11" s="24">
        <f>0.000016778*1000</f>
        <v>1.6778000000000001E-2</v>
      </c>
      <c r="K11" s="24">
        <v>0</v>
      </c>
      <c r="L11" s="24">
        <f>0.0285134*1000</f>
        <v>28.513400000000001</v>
      </c>
      <c r="M11" s="24">
        <v>0</v>
      </c>
      <c r="N11" s="24">
        <f>0.0012118*1000</f>
        <v>1.2118</v>
      </c>
      <c r="O11" s="24">
        <v>0</v>
      </c>
      <c r="P11" s="24"/>
      <c r="Q11" s="24">
        <v>0</v>
      </c>
      <c r="R11" s="24"/>
      <c r="S11" s="24">
        <v>0</v>
      </c>
      <c r="T11" s="24"/>
      <c r="U11" s="24">
        <v>0</v>
      </c>
      <c r="V11" s="36" t="s">
        <v>48</v>
      </c>
    </row>
    <row r="12" spans="2:22" x14ac:dyDescent="0.25">
      <c r="B12" s="10"/>
      <c r="C12" s="9" t="s">
        <v>56</v>
      </c>
      <c r="D12" s="9">
        <v>2</v>
      </c>
      <c r="E12" s="17" t="s">
        <v>61</v>
      </c>
      <c r="F12" s="31">
        <f>1.530817*1000</f>
        <v>1530.817</v>
      </c>
      <c r="G12" s="24">
        <v>0</v>
      </c>
      <c r="H12" s="24">
        <f>1.3950347434*1000</f>
        <v>1395.0347434</v>
      </c>
      <c r="I12" s="24">
        <v>0</v>
      </c>
      <c r="J12" s="24">
        <f>0.0038767024*1000</f>
        <v>3.8767023999999997</v>
      </c>
      <c r="K12" s="24">
        <v>0</v>
      </c>
      <c r="L12" s="24">
        <f>3.471089*1000</f>
        <v>3471.0889999999999</v>
      </c>
      <c r="M12" s="24">
        <v>0</v>
      </c>
      <c r="N12" s="24">
        <f>0.540920738*1000</f>
        <v>540.92073799999991</v>
      </c>
      <c r="O12" s="24">
        <v>0</v>
      </c>
      <c r="P12" s="24"/>
      <c r="Q12" s="24">
        <v>0</v>
      </c>
      <c r="R12" s="24"/>
      <c r="S12" s="24">
        <v>0</v>
      </c>
      <c r="T12" s="24"/>
      <c r="U12" s="24">
        <v>0</v>
      </c>
      <c r="V12" s="36" t="s">
        <v>48</v>
      </c>
    </row>
    <row r="13" spans="2:22" x14ac:dyDescent="0.25">
      <c r="B13" s="29"/>
      <c r="C13" s="9" t="s">
        <v>56</v>
      </c>
      <c r="D13" s="9">
        <v>2</v>
      </c>
      <c r="E13" s="17" t="s">
        <v>60</v>
      </c>
      <c r="F13" s="31">
        <f>0.000287*1000</f>
        <v>0.28699999999999998</v>
      </c>
      <c r="G13" s="24">
        <v>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0</v>
      </c>
      <c r="P13" s="24"/>
      <c r="Q13" s="24">
        <v>0</v>
      </c>
      <c r="R13" s="24"/>
      <c r="S13" s="24">
        <v>0</v>
      </c>
      <c r="T13" s="24"/>
      <c r="U13" s="24">
        <v>0</v>
      </c>
      <c r="V13" s="36" t="s">
        <v>48</v>
      </c>
    </row>
    <row r="14" spans="2:22" ht="30" hidden="1" x14ac:dyDescent="0.25">
      <c r="B14" s="33"/>
      <c r="C14" s="9"/>
      <c r="D14" s="9"/>
      <c r="E14" s="17" t="s">
        <v>65</v>
      </c>
      <c r="F14" s="32">
        <f>0.01457*1000</f>
        <v>14.57</v>
      </c>
      <c r="G14" s="24">
        <v>0</v>
      </c>
      <c r="H14" s="24">
        <f>0.004313*1000</f>
        <v>4.3129999999999997</v>
      </c>
      <c r="I14" s="24">
        <v>0</v>
      </c>
      <c r="J14" s="24">
        <f>0.000443*1000</f>
        <v>0.443</v>
      </c>
      <c r="K14" s="24">
        <v>0</v>
      </c>
      <c r="L14" s="24"/>
      <c r="M14" s="24">
        <v>0</v>
      </c>
      <c r="N14" s="24"/>
      <c r="O14" s="24">
        <v>0</v>
      </c>
      <c r="P14" s="24">
        <f>0.001707*1000</f>
        <v>1.7070000000000001</v>
      </c>
      <c r="Q14" s="24">
        <v>0</v>
      </c>
      <c r="R14" s="24">
        <f>0.000302*1000</f>
        <v>0.30200000000000005</v>
      </c>
      <c r="S14" s="24">
        <v>0</v>
      </c>
      <c r="T14" s="24"/>
      <c r="U14" s="24">
        <v>0</v>
      </c>
      <c r="V14" s="36" t="s">
        <v>48</v>
      </c>
    </row>
    <row r="15" spans="2:22" hidden="1" x14ac:dyDescent="0.25">
      <c r="B15" s="33"/>
      <c r="C15" s="9"/>
      <c r="D15" s="9"/>
      <c r="E15" s="17" t="s">
        <v>68</v>
      </c>
      <c r="F15" s="32">
        <f>0.001448*1000</f>
        <v>1.4480000000000002</v>
      </c>
      <c r="G15" s="24">
        <v>0</v>
      </c>
      <c r="H15" s="24"/>
      <c r="I15" s="24">
        <v>0</v>
      </c>
      <c r="J15" s="24"/>
      <c r="K15" s="24">
        <v>0</v>
      </c>
      <c r="L15" s="24"/>
      <c r="M15" s="24">
        <v>0</v>
      </c>
      <c r="N15" s="24"/>
      <c r="O15" s="24">
        <v>0</v>
      </c>
      <c r="P15" s="24"/>
      <c r="Q15" s="24">
        <v>0</v>
      </c>
      <c r="R15" s="24"/>
      <c r="S15" s="24">
        <v>0</v>
      </c>
      <c r="T15" s="24"/>
      <c r="U15" s="24">
        <v>0</v>
      </c>
      <c r="V15" s="36" t="s">
        <v>48</v>
      </c>
    </row>
    <row r="16" spans="2:22" ht="30" x14ac:dyDescent="0.25">
      <c r="B16" s="33"/>
      <c r="C16" s="9" t="s">
        <v>115</v>
      </c>
      <c r="D16" s="9">
        <v>2</v>
      </c>
      <c r="E16" s="17" t="s">
        <v>69</v>
      </c>
      <c r="F16" s="32">
        <f>0.1223*1000</f>
        <v>122.30000000000001</v>
      </c>
      <c r="G16" s="24">
        <v>0</v>
      </c>
      <c r="H16" s="24">
        <f>0.111515173*1000</f>
        <v>111.51517299999999</v>
      </c>
      <c r="I16" s="24">
        <v>0</v>
      </c>
      <c r="J16" s="24">
        <f>0.0005996917*1000</f>
        <v>0.59969169999999994</v>
      </c>
      <c r="K16" s="24">
        <v>0</v>
      </c>
      <c r="L16" s="24">
        <f>0.371402*1000</f>
        <v>371.40199999999999</v>
      </c>
      <c r="M16" s="24">
        <v>0</v>
      </c>
      <c r="N16" s="24">
        <f>0.04321526*1000</f>
        <v>43.215260000000001</v>
      </c>
      <c r="O16" s="24">
        <v>0</v>
      </c>
      <c r="P16" s="24"/>
      <c r="Q16" s="24">
        <v>0</v>
      </c>
      <c r="R16" s="24"/>
      <c r="S16" s="24">
        <v>0</v>
      </c>
      <c r="T16" s="24"/>
      <c r="U16" s="24">
        <v>0</v>
      </c>
      <c r="V16" s="36" t="s">
        <v>48</v>
      </c>
    </row>
    <row r="17" spans="2:22" x14ac:dyDescent="0.25">
      <c r="B17" s="33"/>
      <c r="C17" s="9" t="s">
        <v>117</v>
      </c>
      <c r="D17" s="9">
        <v>2</v>
      </c>
      <c r="E17" s="17" t="s">
        <v>70</v>
      </c>
      <c r="F17" s="32">
        <f>0.002923*1000</f>
        <v>2.9229999999999996</v>
      </c>
      <c r="G17" s="24">
        <v>0</v>
      </c>
      <c r="H17" s="24"/>
      <c r="I17" s="24">
        <v>0</v>
      </c>
      <c r="J17" s="24"/>
      <c r="K17" s="24">
        <v>0</v>
      </c>
      <c r="L17" s="24"/>
      <c r="M17" s="24">
        <v>0</v>
      </c>
      <c r="N17" s="24"/>
      <c r="O17" s="24">
        <v>0</v>
      </c>
      <c r="P17" s="24">
        <f>0.000004*1000</f>
        <v>4.0000000000000001E-3</v>
      </c>
      <c r="Q17" s="24">
        <v>0</v>
      </c>
      <c r="R17" s="24"/>
      <c r="S17" s="24">
        <v>0</v>
      </c>
      <c r="T17" s="24"/>
      <c r="U17" s="24">
        <v>0</v>
      </c>
      <c r="V17" s="36" t="s">
        <v>48</v>
      </c>
    </row>
    <row r="18" spans="2:22" x14ac:dyDescent="0.25">
      <c r="B18" s="33"/>
      <c r="C18" s="9" t="s">
        <v>116</v>
      </c>
      <c r="D18" s="9">
        <v>2</v>
      </c>
      <c r="E18" s="17" t="s">
        <v>71</v>
      </c>
      <c r="F18" s="32">
        <f>0.000096*1000</f>
        <v>9.6000000000000002E-2</v>
      </c>
      <c r="G18" s="24">
        <v>0</v>
      </c>
      <c r="H18" s="24"/>
      <c r="I18" s="24">
        <v>0</v>
      </c>
      <c r="J18" s="24"/>
      <c r="K18" s="24">
        <v>0</v>
      </c>
      <c r="L18" s="24"/>
      <c r="M18" s="24">
        <v>0</v>
      </c>
      <c r="N18" s="24"/>
      <c r="O18" s="24">
        <v>0</v>
      </c>
      <c r="P18" s="24"/>
      <c r="Q18" s="24">
        <v>0</v>
      </c>
      <c r="R18" s="24"/>
      <c r="S18" s="24">
        <v>0</v>
      </c>
      <c r="T18" s="24"/>
      <c r="U18" s="24">
        <v>0</v>
      </c>
      <c r="V18" s="36" t="s">
        <v>48</v>
      </c>
    </row>
    <row r="19" spans="2:22" x14ac:dyDescent="0.25">
      <c r="B19" s="10"/>
      <c r="C19" s="9" t="s">
        <v>116</v>
      </c>
      <c r="D19" s="9">
        <v>2</v>
      </c>
      <c r="E19" s="17" t="s">
        <v>51</v>
      </c>
      <c r="F19" s="31">
        <f>1.134168*1000</f>
        <v>1134.1680000000001</v>
      </c>
      <c r="G19" s="24">
        <v>0</v>
      </c>
      <c r="H19" s="24">
        <f>1.0341570603*1000</f>
        <v>1034.1570603</v>
      </c>
      <c r="I19" s="24">
        <v>0</v>
      </c>
      <c r="J19" s="24">
        <f>0.0056353789*1000</f>
        <v>5.6353789000000001</v>
      </c>
      <c r="K19" s="24">
        <v>0</v>
      </c>
      <c r="L19" s="24">
        <f>8.055893*1000</f>
        <v>8055.8929999999991</v>
      </c>
      <c r="M19" s="24">
        <v>0</v>
      </c>
      <c r="N19" s="24">
        <f>0.400763138*1000</f>
        <v>400.76313800000003</v>
      </c>
      <c r="O19" s="24">
        <v>0</v>
      </c>
      <c r="P19" s="24"/>
      <c r="Q19" s="24">
        <v>0</v>
      </c>
      <c r="R19" s="24"/>
      <c r="S19" s="24">
        <v>0</v>
      </c>
      <c r="T19" s="24"/>
      <c r="U19" s="24">
        <v>0</v>
      </c>
      <c r="V19" s="36" t="s">
        <v>48</v>
      </c>
    </row>
    <row r="20" spans="2:22" hidden="1" x14ac:dyDescent="0.25">
      <c r="B20" s="33"/>
      <c r="C20" s="22"/>
      <c r="D20" s="9"/>
      <c r="E20" s="17" t="s">
        <v>72</v>
      </c>
      <c r="F20" s="32">
        <f>1.24366*1000</f>
        <v>1243.6600000000001</v>
      </c>
      <c r="G20" s="24">
        <v>0</v>
      </c>
      <c r="H20" s="37">
        <f>1.1340543445*1000</f>
        <v>1134.0543445000001</v>
      </c>
      <c r="I20" s="24">
        <v>0</v>
      </c>
      <c r="J20" s="24">
        <f>0.0065384327*1000</f>
        <v>6.5384327000000004</v>
      </c>
      <c r="K20" s="24">
        <v>0</v>
      </c>
      <c r="L20" s="24"/>
      <c r="M20" s="24">
        <v>0</v>
      </c>
      <c r="N20" s="24">
        <f>0.2101*1000</f>
        <v>210.10000000000002</v>
      </c>
      <c r="O20" s="24">
        <v>0</v>
      </c>
      <c r="P20" s="24">
        <f>0.439452475*1000</f>
        <v>439.45247499999999</v>
      </c>
      <c r="Q20" s="24">
        <v>0</v>
      </c>
      <c r="R20" s="24"/>
      <c r="S20" s="24">
        <v>0</v>
      </c>
      <c r="T20" s="24"/>
      <c r="U20" s="24">
        <v>0</v>
      </c>
      <c r="V20" s="36" t="s">
        <v>48</v>
      </c>
    </row>
    <row r="21" spans="2:22" hidden="1" x14ac:dyDescent="0.25">
      <c r="B21" s="33"/>
      <c r="C21" s="22"/>
      <c r="D21" s="9"/>
      <c r="E21" s="17" t="s">
        <v>73</v>
      </c>
      <c r="F21" s="32">
        <f>0.000338*1000</f>
        <v>0.33799999999999997</v>
      </c>
      <c r="G21" s="24">
        <v>0</v>
      </c>
      <c r="H21" s="24"/>
      <c r="I21" s="24">
        <v>0</v>
      </c>
      <c r="J21" s="24"/>
      <c r="K21" s="24">
        <v>0</v>
      </c>
      <c r="L21" s="24"/>
      <c r="M21" s="24">
        <v>0</v>
      </c>
      <c r="N21" s="24"/>
      <c r="O21" s="24">
        <v>0</v>
      </c>
      <c r="P21" s="24"/>
      <c r="Q21" s="24">
        <v>0</v>
      </c>
      <c r="R21" s="24"/>
      <c r="S21" s="24">
        <v>0</v>
      </c>
      <c r="T21" s="24"/>
      <c r="U21" s="24">
        <v>0</v>
      </c>
      <c r="V21" s="36" t="s">
        <v>48</v>
      </c>
    </row>
    <row r="22" spans="2:22" hidden="1" x14ac:dyDescent="0.25">
      <c r="B22" s="33"/>
      <c r="C22" s="22"/>
      <c r="D22" s="9"/>
      <c r="E22" s="17" t="s">
        <v>74</v>
      </c>
      <c r="F22" s="32">
        <f>0.000102*1000</f>
        <v>0.10199999999999999</v>
      </c>
      <c r="G22" s="24">
        <v>0</v>
      </c>
      <c r="H22" s="24"/>
      <c r="I22" s="24">
        <v>0</v>
      </c>
      <c r="J22" s="24"/>
      <c r="K22" s="24">
        <v>0</v>
      </c>
      <c r="L22" s="24"/>
      <c r="M22" s="24">
        <v>0</v>
      </c>
      <c r="N22" s="24"/>
      <c r="O22" s="24">
        <v>0</v>
      </c>
      <c r="P22" s="24"/>
      <c r="Q22" s="24">
        <v>0</v>
      </c>
      <c r="R22" s="24"/>
      <c r="S22" s="24">
        <v>0</v>
      </c>
      <c r="T22" s="24"/>
      <c r="U22" s="24">
        <v>0</v>
      </c>
      <c r="V22" s="36" t="s">
        <v>48</v>
      </c>
    </row>
    <row r="23" spans="2:22" hidden="1" x14ac:dyDescent="0.25">
      <c r="B23" s="33"/>
      <c r="C23" s="22"/>
      <c r="D23" s="9"/>
      <c r="E23" s="17" t="s">
        <v>75</v>
      </c>
      <c r="F23" s="32">
        <f>0.014936*1000</f>
        <v>14.936</v>
      </c>
      <c r="G23" s="24"/>
      <c r="H23" s="24">
        <f>0.0136084044*1000</f>
        <v>13.6084044</v>
      </c>
      <c r="I23" s="24">
        <v>0</v>
      </c>
      <c r="J23" s="24">
        <f>0.0000234926*1000</f>
        <v>2.3492599999999999E-2</v>
      </c>
      <c r="K23" s="24">
        <v>0</v>
      </c>
      <c r="L23" s="24">
        <f>0.024617*1000</f>
        <v>24.617000000000001</v>
      </c>
      <c r="M23" s="24">
        <v>0</v>
      </c>
      <c r="N23" s="24">
        <f>0.00527781*1000</f>
        <v>5.2778099999999997</v>
      </c>
      <c r="O23" s="24">
        <v>0</v>
      </c>
      <c r="P23" s="24"/>
      <c r="Q23" s="24">
        <v>0</v>
      </c>
      <c r="R23" s="24"/>
      <c r="S23" s="24">
        <v>0</v>
      </c>
      <c r="T23" s="24"/>
      <c r="U23" s="24">
        <v>0</v>
      </c>
      <c r="V23" s="36" t="s">
        <v>48</v>
      </c>
    </row>
    <row r="24" spans="2:22" x14ac:dyDescent="0.25">
      <c r="B24" s="33"/>
      <c r="C24" s="22" t="s">
        <v>125</v>
      </c>
      <c r="D24" s="9">
        <v>1</v>
      </c>
      <c r="E24" s="17" t="s">
        <v>101</v>
      </c>
      <c r="F24" s="32">
        <f>0.967595*1000</f>
        <v>967.59500000000003</v>
      </c>
      <c r="G24" s="24">
        <v>0</v>
      </c>
      <c r="H24" s="24">
        <f>0.008814*1000</f>
        <v>8.8140000000000001</v>
      </c>
      <c r="I24" s="24">
        <v>0</v>
      </c>
      <c r="J24" s="24">
        <f>0.000085*1000</f>
        <v>8.5000000000000006E-2</v>
      </c>
      <c r="K24" s="24">
        <v>0</v>
      </c>
      <c r="L24" s="24"/>
      <c r="M24" s="24">
        <v>0</v>
      </c>
      <c r="N24" s="24"/>
      <c r="O24" s="24">
        <v>0</v>
      </c>
      <c r="P24" s="24">
        <f>0.000094*1000</f>
        <v>9.4E-2</v>
      </c>
      <c r="Q24" s="24">
        <v>0</v>
      </c>
      <c r="R24" s="24">
        <f>0.000094*1000</f>
        <v>9.4E-2</v>
      </c>
      <c r="S24" s="24">
        <v>0</v>
      </c>
      <c r="T24" s="24"/>
      <c r="U24" s="24">
        <v>0</v>
      </c>
      <c r="V24" s="36" t="s">
        <v>48</v>
      </c>
    </row>
    <row r="25" spans="2:22" hidden="1" x14ac:dyDescent="0.25">
      <c r="B25" s="9"/>
      <c r="C25" s="9"/>
      <c r="D25" s="9"/>
      <c r="E25" s="18" t="s">
        <v>76</v>
      </c>
      <c r="F25" s="31">
        <f>0.004344*1000</f>
        <v>4.3439999999999994</v>
      </c>
      <c r="G25" s="24">
        <v>0</v>
      </c>
      <c r="H25" s="24"/>
      <c r="I25" s="24">
        <v>0</v>
      </c>
      <c r="J25" s="24"/>
      <c r="K25" s="24">
        <v>0</v>
      </c>
      <c r="L25" s="24"/>
      <c r="M25" s="24">
        <v>0</v>
      </c>
      <c r="N25" s="24"/>
      <c r="O25" s="24">
        <v>0</v>
      </c>
      <c r="P25" s="24"/>
      <c r="Q25" s="24">
        <v>0</v>
      </c>
      <c r="R25" s="24"/>
      <c r="S25" s="24">
        <v>0</v>
      </c>
      <c r="T25" s="24"/>
      <c r="U25" s="24">
        <v>0</v>
      </c>
      <c r="V25" s="36" t="s">
        <v>48</v>
      </c>
    </row>
    <row r="26" spans="2:22" x14ac:dyDescent="0.25">
      <c r="B26" s="9"/>
      <c r="C26" s="9" t="s">
        <v>118</v>
      </c>
      <c r="D26" s="9">
        <v>1</v>
      </c>
      <c r="E26" s="18" t="s">
        <v>77</v>
      </c>
      <c r="F26" s="32">
        <f>0.004344*1000</f>
        <v>4.3439999999999994</v>
      </c>
      <c r="G26" s="24">
        <v>0</v>
      </c>
      <c r="H26" s="24"/>
      <c r="I26" s="24">
        <v>0</v>
      </c>
      <c r="J26" s="24"/>
      <c r="K26" s="24">
        <v>0</v>
      </c>
      <c r="L26" s="24"/>
      <c r="M26" s="24">
        <v>0</v>
      </c>
      <c r="N26" s="24"/>
      <c r="O26" s="24">
        <v>0</v>
      </c>
      <c r="P26" s="24"/>
      <c r="Q26" s="24">
        <v>0</v>
      </c>
      <c r="R26" s="24"/>
      <c r="S26" s="24">
        <v>0</v>
      </c>
      <c r="T26" s="24"/>
      <c r="U26" s="24">
        <v>0</v>
      </c>
      <c r="V26" s="36" t="s">
        <v>48</v>
      </c>
    </row>
    <row r="27" spans="2:22" x14ac:dyDescent="0.25">
      <c r="B27" s="9"/>
      <c r="C27" s="9"/>
      <c r="D27" s="9">
        <v>1</v>
      </c>
      <c r="E27" s="18" t="s">
        <v>102</v>
      </c>
      <c r="F27" s="31">
        <f>0.157065*1000</f>
        <v>157.065</v>
      </c>
      <c r="G27" s="24">
        <v>0</v>
      </c>
      <c r="H27" s="24"/>
      <c r="I27" s="24">
        <v>0</v>
      </c>
      <c r="J27" s="24"/>
      <c r="K27" s="24">
        <v>0</v>
      </c>
      <c r="L27" s="24"/>
      <c r="M27" s="24">
        <v>0</v>
      </c>
      <c r="N27" s="24"/>
      <c r="O27" s="24">
        <v>0</v>
      </c>
      <c r="P27" s="24"/>
      <c r="Q27" s="24">
        <v>0</v>
      </c>
      <c r="R27" s="24"/>
      <c r="S27" s="24">
        <v>0</v>
      </c>
      <c r="T27" s="24"/>
      <c r="U27" s="24">
        <v>0</v>
      </c>
      <c r="V27" s="36" t="s">
        <v>48</v>
      </c>
    </row>
    <row r="28" spans="2:22" x14ac:dyDescent="0.25">
      <c r="B28" s="9"/>
      <c r="C28" s="9"/>
      <c r="D28" s="9">
        <v>6</v>
      </c>
      <c r="E28" s="18" t="s">
        <v>78</v>
      </c>
      <c r="F28" s="32">
        <f>0.001448*1000</f>
        <v>1.4480000000000002</v>
      </c>
      <c r="G28" s="24">
        <v>0</v>
      </c>
      <c r="H28" s="24"/>
      <c r="I28" s="24">
        <v>0</v>
      </c>
      <c r="J28" s="24"/>
      <c r="K28" s="24">
        <v>0</v>
      </c>
      <c r="L28" s="24"/>
      <c r="M28" s="24">
        <v>0</v>
      </c>
      <c r="N28" s="24"/>
      <c r="O28" s="24">
        <v>0</v>
      </c>
      <c r="P28" s="24"/>
      <c r="Q28" s="24">
        <v>0</v>
      </c>
      <c r="R28" s="24"/>
      <c r="S28" s="24">
        <v>0</v>
      </c>
      <c r="T28" s="24"/>
      <c r="U28" s="24">
        <v>0</v>
      </c>
      <c r="V28" s="36" t="s">
        <v>48</v>
      </c>
    </row>
    <row r="29" spans="2:22" x14ac:dyDescent="0.25">
      <c r="B29" s="9"/>
      <c r="C29" s="9"/>
      <c r="D29" s="9">
        <v>1</v>
      </c>
      <c r="E29" s="18" t="s">
        <v>79</v>
      </c>
      <c r="F29" s="32">
        <f>0.0010304*1000</f>
        <v>1.0304</v>
      </c>
      <c r="G29" s="24">
        <v>0</v>
      </c>
      <c r="H29" s="24"/>
      <c r="I29" s="24">
        <v>0</v>
      </c>
      <c r="J29" s="24"/>
      <c r="K29" s="24">
        <v>0</v>
      </c>
      <c r="L29" s="24"/>
      <c r="M29" s="24">
        <v>0</v>
      </c>
      <c r="N29" s="24"/>
      <c r="O29" s="24">
        <v>0</v>
      </c>
      <c r="P29" s="24"/>
      <c r="Q29" s="24">
        <v>0</v>
      </c>
      <c r="R29" s="24"/>
      <c r="S29" s="24">
        <v>0</v>
      </c>
      <c r="T29" s="24"/>
      <c r="U29" s="24">
        <v>0</v>
      </c>
      <c r="V29" s="36" t="s">
        <v>48</v>
      </c>
    </row>
    <row r="30" spans="2:22" ht="30" x14ac:dyDescent="0.25">
      <c r="B30" s="9"/>
      <c r="C30" s="9" t="s">
        <v>119</v>
      </c>
      <c r="D30" s="9">
        <v>2</v>
      </c>
      <c r="E30" s="18" t="s">
        <v>80</v>
      </c>
      <c r="F30" s="32">
        <f>0.055572*1000</f>
        <v>55.572000000000003</v>
      </c>
      <c r="G30" s="24">
        <v>0</v>
      </c>
      <c r="H30" s="24">
        <f>0.0506657628*1000</f>
        <v>50.665762800000003</v>
      </c>
      <c r="I30" s="24">
        <v>0</v>
      </c>
      <c r="J30" s="24">
        <f>0.0002451894*1000</f>
        <v>0.2451894</v>
      </c>
      <c r="K30" s="24">
        <v>0</v>
      </c>
      <c r="L30" s="24">
        <f>0.130748*1000</f>
        <v>130.74799999999999</v>
      </c>
      <c r="M30" s="24">
        <v>0</v>
      </c>
      <c r="N30" s="24">
        <f>0.019636664*1000</f>
        <v>19.636664000000003</v>
      </c>
      <c r="O30" s="24">
        <v>0</v>
      </c>
      <c r="P30" s="24"/>
      <c r="Q30" s="24">
        <v>0</v>
      </c>
      <c r="R30" s="24"/>
      <c r="S30" s="24">
        <v>0</v>
      </c>
      <c r="T30" s="24"/>
      <c r="U30" s="24">
        <v>0</v>
      </c>
      <c r="V30" s="36" t="s">
        <v>48</v>
      </c>
    </row>
    <row r="31" spans="2:22" x14ac:dyDescent="0.25">
      <c r="B31" s="9"/>
      <c r="C31" s="9"/>
      <c r="D31" s="9"/>
      <c r="E31" s="18" t="s">
        <v>81</v>
      </c>
      <c r="F31" s="32">
        <f>0.08301*1000</f>
        <v>83.01</v>
      </c>
      <c r="G31" s="24">
        <v>0</v>
      </c>
      <c r="H31" s="24"/>
      <c r="I31" s="24">
        <v>0</v>
      </c>
      <c r="J31" s="24"/>
      <c r="K31" s="24">
        <v>0</v>
      </c>
      <c r="L31" s="24"/>
      <c r="M31" s="24">
        <v>0</v>
      </c>
      <c r="N31" s="24"/>
      <c r="O31" s="24">
        <v>0</v>
      </c>
      <c r="P31" s="24"/>
      <c r="Q31" s="24">
        <v>0</v>
      </c>
      <c r="R31" s="24"/>
      <c r="S31" s="24">
        <v>0</v>
      </c>
      <c r="T31" s="24"/>
      <c r="U31" s="24">
        <v>0</v>
      </c>
      <c r="V31" s="36" t="s">
        <v>48</v>
      </c>
    </row>
    <row r="32" spans="2:22" x14ac:dyDescent="0.25">
      <c r="B32" s="9"/>
      <c r="C32" s="9"/>
      <c r="D32" s="9">
        <v>1</v>
      </c>
      <c r="E32" s="17" t="s">
        <v>50</v>
      </c>
      <c r="F32" s="31">
        <f>1.456724*1000</f>
        <v>1456.7239999999999</v>
      </c>
      <c r="G32" s="24">
        <v>0</v>
      </c>
      <c r="H32" s="24"/>
      <c r="I32" s="24">
        <v>0</v>
      </c>
      <c r="J32" s="24"/>
      <c r="K32" s="24">
        <v>0</v>
      </c>
      <c r="L32" s="24"/>
      <c r="M32" s="24">
        <v>0</v>
      </c>
      <c r="N32" s="24"/>
      <c r="O32" s="24">
        <v>0</v>
      </c>
      <c r="P32" s="24"/>
      <c r="Q32" s="24">
        <v>0</v>
      </c>
      <c r="R32" s="24"/>
      <c r="S32" s="24">
        <v>0</v>
      </c>
      <c r="T32" s="24"/>
      <c r="U32" s="24">
        <v>0</v>
      </c>
      <c r="V32" s="36" t="s">
        <v>48</v>
      </c>
    </row>
    <row r="33" spans="2:22" hidden="1" x14ac:dyDescent="0.25">
      <c r="B33" s="9"/>
      <c r="C33" s="9"/>
      <c r="D33" s="9"/>
      <c r="E33" s="17" t="s">
        <v>46</v>
      </c>
      <c r="F33" s="31">
        <f>0.000021*1000</f>
        <v>2.0999999999999998E-2</v>
      </c>
      <c r="G33" s="24">
        <v>0</v>
      </c>
      <c r="H33" s="24"/>
      <c r="I33" s="24">
        <v>0</v>
      </c>
      <c r="J33" s="24"/>
      <c r="K33" s="24">
        <v>0</v>
      </c>
      <c r="L33" s="24"/>
      <c r="M33" s="24">
        <v>0</v>
      </c>
      <c r="N33" s="24"/>
      <c r="O33" s="24">
        <v>0</v>
      </c>
      <c r="P33" s="24"/>
      <c r="Q33" s="24">
        <v>0</v>
      </c>
      <c r="R33" s="24"/>
      <c r="S33" s="24">
        <v>0</v>
      </c>
      <c r="T33" s="24"/>
      <c r="U33" s="24">
        <v>0</v>
      </c>
      <c r="V33" s="36" t="s">
        <v>48</v>
      </c>
    </row>
    <row r="34" spans="2:22" hidden="1" x14ac:dyDescent="0.25">
      <c r="B34" s="9"/>
      <c r="C34" s="9"/>
      <c r="D34" s="9"/>
      <c r="E34" s="17" t="s">
        <v>52</v>
      </c>
      <c r="F34" s="31">
        <f>0.02729*1000</f>
        <v>27.29</v>
      </c>
      <c r="G34" s="24">
        <v>0</v>
      </c>
      <c r="H34" s="24"/>
      <c r="I34" s="24">
        <v>0</v>
      </c>
      <c r="J34" s="24"/>
      <c r="K34" s="24">
        <v>0</v>
      </c>
      <c r="L34" s="24"/>
      <c r="M34" s="24">
        <v>0</v>
      </c>
      <c r="N34" s="24"/>
      <c r="O34" s="24">
        <v>0</v>
      </c>
      <c r="P34" s="24"/>
      <c r="Q34" s="24">
        <v>0</v>
      </c>
      <c r="R34" s="24"/>
      <c r="S34" s="24">
        <v>0</v>
      </c>
      <c r="T34" s="24"/>
      <c r="U34" s="24">
        <v>0</v>
      </c>
      <c r="V34" s="36" t="s">
        <v>48</v>
      </c>
    </row>
    <row r="35" spans="2:22" x14ac:dyDescent="0.25">
      <c r="B35" s="9"/>
      <c r="C35" s="9" t="s">
        <v>55</v>
      </c>
      <c r="D35" s="9">
        <v>1</v>
      </c>
      <c r="E35" s="17" t="s">
        <v>47</v>
      </c>
      <c r="F35" s="31">
        <f>3.544793*1000</f>
        <v>3544.7929999999997</v>
      </c>
      <c r="G35" s="24">
        <v>0</v>
      </c>
      <c r="H35" s="24">
        <f>0.003006*1000</f>
        <v>3.0059999999999998</v>
      </c>
      <c r="I35" s="24">
        <v>0</v>
      </c>
      <c r="J35" s="24">
        <f>0.000751*1000</f>
        <v>0.751</v>
      </c>
      <c r="K35" s="24">
        <v>0</v>
      </c>
      <c r="L35" s="24"/>
      <c r="M35" s="24">
        <v>0</v>
      </c>
      <c r="N35" s="24"/>
      <c r="O35" s="24">
        <v>0</v>
      </c>
      <c r="P35" s="24">
        <f>0.000836*1000</f>
        <v>0.83600000000000008</v>
      </c>
      <c r="Q35" s="24">
        <v>0</v>
      </c>
      <c r="R35" s="24">
        <f>0.000836*1000</f>
        <v>0.83600000000000008</v>
      </c>
      <c r="S35" s="24">
        <v>0</v>
      </c>
      <c r="T35" s="24"/>
      <c r="U35" s="24">
        <v>0</v>
      </c>
      <c r="V35" s="36" t="s">
        <v>48</v>
      </c>
    </row>
    <row r="36" spans="2:22" ht="45" hidden="1" x14ac:dyDescent="0.25">
      <c r="B36" s="9"/>
      <c r="C36" s="9"/>
      <c r="D36" s="9"/>
      <c r="E36" s="17" t="s">
        <v>53</v>
      </c>
      <c r="F36" s="32">
        <f>0.004002*1000</f>
        <v>4.0020000000000007</v>
      </c>
      <c r="G36" s="24">
        <v>0</v>
      </c>
      <c r="H36" s="24">
        <f>0.001119*1000</f>
        <v>1.119</v>
      </c>
      <c r="I36" s="24">
        <v>0</v>
      </c>
      <c r="J36" s="24">
        <f>0.000133*1000</f>
        <v>0.13300000000000001</v>
      </c>
      <c r="K36" s="24">
        <v>0</v>
      </c>
      <c r="L36" s="24"/>
      <c r="M36" s="24">
        <v>0</v>
      </c>
      <c r="N36" s="24"/>
      <c r="O36" s="24">
        <v>0</v>
      </c>
      <c r="P36" s="24">
        <f>0.000452*1000</f>
        <v>0.45199999999999996</v>
      </c>
      <c r="Q36" s="24">
        <v>0</v>
      </c>
      <c r="R36" s="24">
        <f>0.000104*1000</f>
        <v>0.104</v>
      </c>
      <c r="S36" s="24">
        <v>0</v>
      </c>
      <c r="T36" s="24"/>
      <c r="U36" s="24">
        <v>0</v>
      </c>
      <c r="V36" s="36" t="s">
        <v>48</v>
      </c>
    </row>
    <row r="37" spans="2:22" ht="30" x14ac:dyDescent="0.25">
      <c r="B37" s="9"/>
      <c r="C37" s="9"/>
      <c r="D37" s="9">
        <v>6</v>
      </c>
      <c r="E37" s="17" t="s">
        <v>83</v>
      </c>
      <c r="F37" s="32">
        <f>0.00029*1000</f>
        <v>0.28999999999999998</v>
      </c>
      <c r="G37" s="24">
        <v>0</v>
      </c>
      <c r="H37" s="24"/>
      <c r="I37" s="24">
        <v>0</v>
      </c>
      <c r="J37" s="24"/>
      <c r="K37" s="24">
        <v>0</v>
      </c>
      <c r="L37" s="24"/>
      <c r="M37" s="24">
        <v>0</v>
      </c>
      <c r="N37" s="24"/>
      <c r="O37" s="24">
        <v>0</v>
      </c>
      <c r="P37" s="24"/>
      <c r="Q37" s="24">
        <v>0</v>
      </c>
      <c r="R37" s="24"/>
      <c r="S37" s="24">
        <v>0</v>
      </c>
      <c r="T37" s="24"/>
      <c r="U37" s="24">
        <v>0</v>
      </c>
      <c r="V37" s="36" t="s">
        <v>48</v>
      </c>
    </row>
    <row r="38" spans="2:22" ht="30" x14ac:dyDescent="0.25">
      <c r="B38" s="9"/>
      <c r="C38" s="9"/>
      <c r="D38" s="9">
        <v>6</v>
      </c>
      <c r="E38" s="17" t="s">
        <v>82</v>
      </c>
      <c r="F38" s="31">
        <f>0.002281*1000</f>
        <v>2.2810000000000001</v>
      </c>
      <c r="G38" s="24">
        <v>0</v>
      </c>
      <c r="H38" s="24">
        <f>0.000746*1000</f>
        <v>0.746</v>
      </c>
      <c r="I38" s="24">
        <v>0</v>
      </c>
      <c r="J38" s="24">
        <f>0.000186*1000</f>
        <v>0.186</v>
      </c>
      <c r="K38" s="24">
        <v>0</v>
      </c>
      <c r="L38" s="24"/>
      <c r="M38" s="24">
        <v>0</v>
      </c>
      <c r="N38" s="24"/>
      <c r="O38" s="24">
        <v>0</v>
      </c>
      <c r="P38" s="24">
        <f>0.000207*1000</f>
        <v>0.20699999999999999</v>
      </c>
      <c r="Q38" s="24">
        <v>0</v>
      </c>
      <c r="R38" s="24">
        <f>0.000207*1000</f>
        <v>0.20699999999999999</v>
      </c>
      <c r="S38" s="24">
        <v>0</v>
      </c>
      <c r="T38" s="24"/>
      <c r="U38" s="24">
        <v>0</v>
      </c>
      <c r="V38" s="36" t="s">
        <v>48</v>
      </c>
    </row>
    <row r="39" spans="2:22" hidden="1" x14ac:dyDescent="0.25">
      <c r="B39" s="9"/>
      <c r="C39" s="9"/>
      <c r="D39" s="9"/>
      <c r="E39" s="17" t="s">
        <v>84</v>
      </c>
      <c r="F39" s="32">
        <f>0.0000004*1000</f>
        <v>3.9999999999999996E-4</v>
      </c>
      <c r="G39" s="24">
        <v>0</v>
      </c>
      <c r="H39" s="24"/>
      <c r="I39" s="24">
        <v>0</v>
      </c>
      <c r="J39" s="24"/>
      <c r="K39" s="24">
        <v>0</v>
      </c>
      <c r="L39" s="24"/>
      <c r="M39" s="24">
        <v>0</v>
      </c>
      <c r="N39" s="24"/>
      <c r="O39" s="24">
        <v>0</v>
      </c>
      <c r="P39" s="24"/>
      <c r="Q39" s="24">
        <v>0</v>
      </c>
      <c r="R39" s="24"/>
      <c r="S39" s="24">
        <v>0</v>
      </c>
      <c r="T39" s="24"/>
      <c r="U39" s="24">
        <v>0</v>
      </c>
      <c r="V39" s="36" t="s">
        <v>48</v>
      </c>
    </row>
    <row r="40" spans="2:22" hidden="1" x14ac:dyDescent="0.25">
      <c r="B40" s="9"/>
      <c r="C40" s="9"/>
      <c r="D40" s="9"/>
      <c r="E40" s="17" t="s">
        <v>85</v>
      </c>
      <c r="F40" s="32">
        <f>0.081871*1000</f>
        <v>81.870999999999995</v>
      </c>
      <c r="G40" s="24">
        <v>0</v>
      </c>
      <c r="H40" s="24"/>
      <c r="I40" s="24">
        <v>0</v>
      </c>
      <c r="J40" s="24"/>
      <c r="K40" s="24">
        <v>0</v>
      </c>
      <c r="L40" s="24"/>
      <c r="M40" s="24">
        <v>0</v>
      </c>
      <c r="N40" s="24"/>
      <c r="O40" s="24">
        <v>0</v>
      </c>
      <c r="P40" s="24"/>
      <c r="Q40" s="24">
        <v>0</v>
      </c>
      <c r="R40" s="24"/>
      <c r="S40" s="24">
        <v>0</v>
      </c>
      <c r="T40" s="24"/>
      <c r="U40" s="24">
        <v>0</v>
      </c>
      <c r="V40" s="36" t="s">
        <v>48</v>
      </c>
    </row>
    <row r="41" spans="2:22" hidden="1" x14ac:dyDescent="0.25">
      <c r="B41" s="9"/>
      <c r="C41" s="9"/>
      <c r="D41" s="9"/>
      <c r="E41" s="17" t="s">
        <v>86</v>
      </c>
      <c r="F41" s="32">
        <f>0.000288*1000</f>
        <v>0.28800000000000003</v>
      </c>
      <c r="G41" s="24">
        <v>0</v>
      </c>
      <c r="H41" s="24"/>
      <c r="I41" s="24">
        <v>0</v>
      </c>
      <c r="J41" s="24"/>
      <c r="K41" s="24">
        <v>0</v>
      </c>
      <c r="L41" s="24"/>
      <c r="M41" s="24">
        <v>0</v>
      </c>
      <c r="N41" s="24"/>
      <c r="O41" s="24">
        <v>0</v>
      </c>
      <c r="P41" s="24"/>
      <c r="Q41" s="24">
        <v>0</v>
      </c>
      <c r="R41" s="24"/>
      <c r="S41" s="24">
        <v>0</v>
      </c>
      <c r="T41" s="24"/>
      <c r="U41" s="24">
        <v>0</v>
      </c>
      <c r="V41" s="36" t="s">
        <v>48</v>
      </c>
    </row>
    <row r="42" spans="2:22" hidden="1" x14ac:dyDescent="0.25">
      <c r="B42" s="9"/>
      <c r="C42" s="9"/>
      <c r="D42" s="9"/>
      <c r="E42" s="17" t="s">
        <v>87</v>
      </c>
      <c r="F42" s="32">
        <f>0.00029*1000</f>
        <v>0.28999999999999998</v>
      </c>
      <c r="G42" s="24">
        <v>0</v>
      </c>
      <c r="H42" s="24"/>
      <c r="I42" s="24">
        <v>0</v>
      </c>
      <c r="J42" s="24"/>
      <c r="K42" s="24">
        <v>0</v>
      </c>
      <c r="L42" s="24"/>
      <c r="M42" s="24">
        <v>0</v>
      </c>
      <c r="N42" s="24"/>
      <c r="O42" s="24">
        <v>0</v>
      </c>
      <c r="P42" s="24"/>
      <c r="Q42" s="24">
        <v>0</v>
      </c>
      <c r="R42" s="24"/>
      <c r="S42" s="24">
        <v>0</v>
      </c>
      <c r="T42" s="24"/>
      <c r="U42" s="24">
        <v>0</v>
      </c>
      <c r="V42" s="36" t="s">
        <v>48</v>
      </c>
    </row>
    <row r="43" spans="2:22" hidden="1" x14ac:dyDescent="0.25">
      <c r="B43" s="9"/>
      <c r="C43" s="9"/>
      <c r="D43" s="9"/>
      <c r="E43" s="17" t="s">
        <v>88</v>
      </c>
      <c r="F43" s="32">
        <f>0.004502*1000</f>
        <v>4.5019999999999998</v>
      </c>
      <c r="G43" s="24">
        <v>0</v>
      </c>
      <c r="H43" s="24"/>
      <c r="I43" s="24">
        <v>0</v>
      </c>
      <c r="J43" s="24"/>
      <c r="K43" s="24">
        <v>0</v>
      </c>
      <c r="L43" s="24"/>
      <c r="M43" s="24">
        <v>0</v>
      </c>
      <c r="N43" s="24"/>
      <c r="O43" s="24">
        <v>0</v>
      </c>
      <c r="P43" s="24"/>
      <c r="Q43" s="24">
        <v>0</v>
      </c>
      <c r="R43" s="24"/>
      <c r="S43" s="24">
        <v>0</v>
      </c>
      <c r="T43" s="24"/>
      <c r="U43" s="24">
        <v>0</v>
      </c>
      <c r="V43" s="36" t="s">
        <v>48</v>
      </c>
    </row>
    <row r="44" spans="2:22" ht="30" hidden="1" x14ac:dyDescent="0.25">
      <c r="B44" s="9"/>
      <c r="C44" s="9"/>
      <c r="D44" s="9"/>
      <c r="E44" s="17" t="s">
        <v>89</v>
      </c>
      <c r="F44" s="32">
        <f>0.003247*1000</f>
        <v>3.2469999999999999</v>
      </c>
      <c r="G44" s="24">
        <v>0</v>
      </c>
      <c r="H44" s="24"/>
      <c r="I44" s="24">
        <v>0</v>
      </c>
      <c r="J44" s="24"/>
      <c r="K44" s="24">
        <v>0</v>
      </c>
      <c r="L44" s="24"/>
      <c r="M44" s="24">
        <v>0</v>
      </c>
      <c r="N44" s="24"/>
      <c r="O44" s="24">
        <v>0</v>
      </c>
      <c r="P44" s="24"/>
      <c r="Q44" s="24">
        <v>0</v>
      </c>
      <c r="R44" s="24"/>
      <c r="S44" s="24">
        <v>0</v>
      </c>
      <c r="T44" s="24"/>
      <c r="U44" s="24">
        <v>0</v>
      </c>
      <c r="V44" s="36" t="s">
        <v>48</v>
      </c>
    </row>
    <row r="45" spans="2:22" ht="30" x14ac:dyDescent="0.25">
      <c r="B45" s="9"/>
      <c r="C45" s="9"/>
      <c r="D45" s="9"/>
      <c r="E45" s="17" t="s">
        <v>90</v>
      </c>
      <c r="F45" s="32">
        <f>0.041312*1000</f>
        <v>41.312000000000005</v>
      </c>
      <c r="G45" s="24">
        <v>0</v>
      </c>
      <c r="H45" s="24"/>
      <c r="I45" s="24">
        <v>0</v>
      </c>
      <c r="J45" s="24"/>
      <c r="K45" s="24">
        <v>0</v>
      </c>
      <c r="L45" s="24"/>
      <c r="M45" s="24">
        <v>0</v>
      </c>
      <c r="N45" s="24"/>
      <c r="O45" s="24">
        <v>0</v>
      </c>
      <c r="P45" s="24"/>
      <c r="Q45" s="24">
        <v>0</v>
      </c>
      <c r="R45" s="24"/>
      <c r="S45" s="24">
        <v>0</v>
      </c>
      <c r="T45" s="24"/>
      <c r="U45" s="24">
        <v>0</v>
      </c>
      <c r="V45" s="36" t="s">
        <v>48</v>
      </c>
    </row>
    <row r="46" spans="2:22" ht="30" x14ac:dyDescent="0.25">
      <c r="B46" s="9"/>
      <c r="C46" s="9"/>
      <c r="D46" s="9">
        <v>6</v>
      </c>
      <c r="E46" s="17" t="s">
        <v>91</v>
      </c>
      <c r="F46" s="32">
        <f>56.560686*1000</f>
        <v>56560.685999999994</v>
      </c>
      <c r="G46" s="71">
        <f>0.9792081*1000</f>
        <v>979.20810000000006</v>
      </c>
      <c r="H46" s="24">
        <f>51.5622596*1000</f>
        <v>51562.259599999998</v>
      </c>
      <c r="I46" s="24">
        <v>0</v>
      </c>
      <c r="J46" s="24">
        <f>0.2360769692*1000</f>
        <v>236.07696919999998</v>
      </c>
      <c r="K46" s="24">
        <v>0</v>
      </c>
      <c r="L46" s="24">
        <f>19.909816*1000</f>
        <v>19909.815999999999</v>
      </c>
      <c r="M46" s="24">
        <v>0</v>
      </c>
      <c r="N46" s="24">
        <f>19.98561237*1000</f>
        <v>19985.612369999999</v>
      </c>
      <c r="O46" s="24">
        <v>0</v>
      </c>
      <c r="P46" s="24">
        <f>0.000088*1000</f>
        <v>8.7999999999999995E-2</v>
      </c>
      <c r="Q46" s="24">
        <v>0</v>
      </c>
      <c r="R46" s="24">
        <f>0.000088*1000</f>
        <v>8.7999999999999995E-2</v>
      </c>
      <c r="S46" s="24">
        <v>0</v>
      </c>
      <c r="T46" s="24"/>
      <c r="U46" s="24">
        <v>0</v>
      </c>
      <c r="V46" s="36" t="s">
        <v>48</v>
      </c>
    </row>
    <row r="47" spans="2:22" hidden="1" x14ac:dyDescent="0.25">
      <c r="B47" s="9"/>
      <c r="C47" s="9"/>
      <c r="D47" s="9"/>
      <c r="E47" s="17" t="s">
        <v>92</v>
      </c>
      <c r="F47" s="32">
        <f>0.000288*1000</f>
        <v>0.28800000000000003</v>
      </c>
      <c r="G47" s="24">
        <v>0</v>
      </c>
      <c r="H47" s="24"/>
      <c r="I47" s="24">
        <v>0</v>
      </c>
      <c r="J47" s="24"/>
      <c r="K47" s="24">
        <v>0</v>
      </c>
      <c r="L47" s="24"/>
      <c r="M47" s="24">
        <v>0</v>
      </c>
      <c r="N47" s="24"/>
      <c r="O47" s="24">
        <v>0</v>
      </c>
      <c r="P47" s="24"/>
      <c r="Q47" s="24">
        <v>0</v>
      </c>
      <c r="R47" s="24"/>
      <c r="S47" s="24">
        <v>0</v>
      </c>
      <c r="T47" s="24"/>
      <c r="U47" s="24">
        <v>0</v>
      </c>
      <c r="V47" s="36" t="s">
        <v>48</v>
      </c>
    </row>
    <row r="48" spans="2:22" ht="45" hidden="1" x14ac:dyDescent="0.25">
      <c r="B48" s="9"/>
      <c r="C48" s="9"/>
      <c r="D48" s="9"/>
      <c r="E48" s="17" t="s">
        <v>93</v>
      </c>
      <c r="F48" s="31">
        <f>0.000869*1000</f>
        <v>0.86899999999999999</v>
      </c>
      <c r="G48" s="24">
        <v>0</v>
      </c>
      <c r="H48" s="24"/>
      <c r="I48" s="24">
        <v>0</v>
      </c>
      <c r="J48" s="24"/>
      <c r="K48" s="24">
        <v>0</v>
      </c>
      <c r="L48" s="24"/>
      <c r="M48" s="24">
        <v>0</v>
      </c>
      <c r="N48" s="24"/>
      <c r="O48" s="24">
        <v>0</v>
      </c>
      <c r="P48" s="24"/>
      <c r="Q48" s="24">
        <v>0</v>
      </c>
      <c r="R48" s="24"/>
      <c r="S48" s="24">
        <v>0</v>
      </c>
      <c r="T48" s="24"/>
      <c r="U48" s="24">
        <v>0</v>
      </c>
      <c r="V48" s="36" t="s">
        <v>48</v>
      </c>
    </row>
    <row r="49" spans="2:22" ht="31.5" hidden="1" customHeight="1" x14ac:dyDescent="0.25">
      <c r="B49" s="9"/>
      <c r="C49" s="9"/>
      <c r="D49" s="9"/>
      <c r="E49" s="17" t="s">
        <v>94</v>
      </c>
      <c r="F49" s="9">
        <f>0.000724*1000</f>
        <v>0.72400000000000009</v>
      </c>
      <c r="G49" s="24">
        <v>0</v>
      </c>
      <c r="H49" s="9"/>
      <c r="I49" s="24">
        <v>0</v>
      </c>
      <c r="J49" s="9"/>
      <c r="K49" s="24">
        <v>0</v>
      </c>
      <c r="L49" s="9"/>
      <c r="M49" s="24">
        <v>0</v>
      </c>
      <c r="N49" s="24"/>
      <c r="O49" s="24">
        <v>0</v>
      </c>
      <c r="P49" s="9"/>
      <c r="Q49" s="24">
        <v>0</v>
      </c>
      <c r="R49" s="24"/>
      <c r="S49" s="24">
        <v>0</v>
      </c>
      <c r="T49" s="24"/>
      <c r="U49" s="24">
        <v>0</v>
      </c>
      <c r="V49" s="36" t="s">
        <v>48</v>
      </c>
    </row>
    <row r="50" spans="2:22" ht="23.25" hidden="1" customHeight="1" x14ac:dyDescent="0.25">
      <c r="B50" s="9"/>
      <c r="C50" s="9"/>
      <c r="D50" s="9"/>
      <c r="E50" s="17" t="s">
        <v>103</v>
      </c>
      <c r="F50" s="9"/>
      <c r="G50" s="24">
        <v>0</v>
      </c>
      <c r="H50" s="9"/>
      <c r="I50" s="24">
        <v>0</v>
      </c>
      <c r="J50" s="9"/>
      <c r="K50" s="9">
        <v>0</v>
      </c>
      <c r="L50" s="9"/>
      <c r="M50" s="24">
        <v>0</v>
      </c>
      <c r="N50" s="24"/>
      <c r="O50" s="24">
        <v>0</v>
      </c>
      <c r="P50" s="9"/>
      <c r="Q50" s="24">
        <v>0</v>
      </c>
      <c r="R50" s="24">
        <f>0.088423*1000</f>
        <v>88.423000000000002</v>
      </c>
      <c r="S50" s="24">
        <v>0</v>
      </c>
      <c r="T50" s="24"/>
      <c r="U50" s="24">
        <v>0</v>
      </c>
      <c r="V50" s="9" t="s">
        <v>48</v>
      </c>
    </row>
    <row r="51" spans="2:22" hidden="1" x14ac:dyDescent="0.25">
      <c r="B51" s="9"/>
      <c r="C51" s="9"/>
      <c r="D51" s="9"/>
      <c r="E51" s="17" t="s">
        <v>104</v>
      </c>
      <c r="F51" s="9"/>
      <c r="G51" s="24">
        <v>0</v>
      </c>
      <c r="H51" s="9"/>
      <c r="I51" s="9">
        <v>0</v>
      </c>
      <c r="J51" s="9"/>
      <c r="K51" s="9">
        <v>0</v>
      </c>
      <c r="L51" s="9"/>
      <c r="M51" s="24">
        <v>0</v>
      </c>
      <c r="N51" s="24"/>
      <c r="O51" s="24">
        <v>0</v>
      </c>
      <c r="P51" s="9"/>
      <c r="Q51" s="24">
        <v>0</v>
      </c>
      <c r="R51" s="24">
        <f>0.0432225*1000</f>
        <v>43.222499999999997</v>
      </c>
      <c r="S51" s="24">
        <v>0</v>
      </c>
      <c r="T51" s="24"/>
      <c r="U51" s="24">
        <v>0</v>
      </c>
      <c r="V51" s="9" t="s">
        <v>48</v>
      </c>
    </row>
    <row r="52" spans="2:22" x14ac:dyDescent="0.25">
      <c r="B52" s="9"/>
      <c r="C52" s="9"/>
      <c r="D52" s="9">
        <v>6</v>
      </c>
      <c r="E52" s="17" t="s">
        <v>105</v>
      </c>
      <c r="F52" s="9"/>
      <c r="G52" s="9">
        <v>0</v>
      </c>
      <c r="H52" s="9"/>
      <c r="I52" s="9">
        <v>0</v>
      </c>
      <c r="J52" s="9"/>
      <c r="K52" s="9">
        <v>0</v>
      </c>
      <c r="L52" s="9"/>
      <c r="M52" s="24">
        <v>0</v>
      </c>
      <c r="N52" s="24"/>
      <c r="O52" s="24">
        <v>0</v>
      </c>
      <c r="P52" s="9"/>
      <c r="Q52" s="24">
        <v>0</v>
      </c>
      <c r="R52" s="24"/>
      <c r="S52" s="24">
        <v>0</v>
      </c>
      <c r="T52" s="24">
        <f>0.252534*1000</f>
        <v>252.53399999999999</v>
      </c>
      <c r="U52" s="24">
        <v>0</v>
      </c>
      <c r="V52" s="9" t="s">
        <v>48</v>
      </c>
    </row>
    <row r="53" spans="2:22" ht="22.5" customHeight="1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2:22" ht="26.25" customHeight="1" x14ac:dyDescent="0.2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</sheetData>
  <mergeCells count="18">
    <mergeCell ref="B54:V54"/>
    <mergeCell ref="P5:Q5"/>
    <mergeCell ref="R5:S5"/>
    <mergeCell ref="T5:U5"/>
    <mergeCell ref="V4:V6"/>
    <mergeCell ref="F4:U4"/>
    <mergeCell ref="B53:V53"/>
    <mergeCell ref="B2:V2"/>
    <mergeCell ref="B3:V3"/>
    <mergeCell ref="E4:E6"/>
    <mergeCell ref="J5:K5"/>
    <mergeCell ref="H5:I5"/>
    <mergeCell ref="F5:G5"/>
    <mergeCell ref="B4:B6"/>
    <mergeCell ref="C4:C6"/>
    <mergeCell ref="D4:D6"/>
    <mergeCell ref="L5:M5"/>
    <mergeCell ref="N5:O5"/>
  </mergeCells>
  <pageMargins left="0.7" right="0.7" top="0.75" bottom="0.75" header="0.3" footer="0.3"/>
  <pageSetup paperSize="9" scale="81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D32" sqref="D32"/>
    </sheetView>
  </sheetViews>
  <sheetFormatPr defaultRowHeight="15" x14ac:dyDescent="0.25"/>
  <cols>
    <col min="6" max="7" width="15.5703125" customWidth="1"/>
  </cols>
  <sheetData>
    <row r="2" spans="2:8" x14ac:dyDescent="0.25">
      <c r="B2" s="50" t="s">
        <v>121</v>
      </c>
      <c r="C2" s="51"/>
      <c r="D2" s="51"/>
      <c r="E2" s="51"/>
      <c r="F2" s="51"/>
      <c r="G2" s="51"/>
      <c r="H2" s="51"/>
    </row>
    <row r="3" spans="2:8" x14ac:dyDescent="0.25">
      <c r="B3" s="54" t="s">
        <v>0</v>
      </c>
      <c r="C3" s="54" t="s">
        <v>27</v>
      </c>
      <c r="D3" s="54" t="s">
        <v>28</v>
      </c>
      <c r="E3" s="54" t="s">
        <v>29</v>
      </c>
      <c r="F3" s="62" t="s">
        <v>123</v>
      </c>
      <c r="G3" s="63"/>
      <c r="H3" s="64" t="s">
        <v>31</v>
      </c>
    </row>
    <row r="4" spans="2:8" x14ac:dyDescent="0.25">
      <c r="B4" s="54"/>
      <c r="C4" s="54"/>
      <c r="D4" s="54"/>
      <c r="E4" s="54"/>
      <c r="F4" s="54" t="s">
        <v>122</v>
      </c>
      <c r="G4" s="54"/>
      <c r="H4" s="65"/>
    </row>
    <row r="5" spans="2:8" ht="25.5" x14ac:dyDescent="0.25">
      <c r="B5" s="54"/>
      <c r="C5" s="54"/>
      <c r="D5" s="54"/>
      <c r="E5" s="54"/>
      <c r="F5" s="44" t="s">
        <v>32</v>
      </c>
      <c r="G5" s="44" t="s">
        <v>33</v>
      </c>
      <c r="H5" s="66"/>
    </row>
    <row r="6" spans="2:8" x14ac:dyDescent="0.25">
      <c r="B6" s="44">
        <v>1</v>
      </c>
      <c r="C6" s="44">
        <v>2</v>
      </c>
      <c r="D6" s="44">
        <v>3</v>
      </c>
      <c r="E6" s="44">
        <v>4</v>
      </c>
      <c r="F6" s="44">
        <v>5</v>
      </c>
      <c r="G6" s="44">
        <v>6</v>
      </c>
      <c r="H6" s="44">
        <v>11</v>
      </c>
    </row>
    <row r="7" spans="2:8" x14ac:dyDescent="0.25">
      <c r="B7" s="59" t="s">
        <v>124</v>
      </c>
      <c r="C7" s="60"/>
      <c r="D7" s="60"/>
      <c r="E7" s="60"/>
      <c r="F7" s="60"/>
      <c r="G7" s="60"/>
      <c r="H7" s="61"/>
    </row>
  </sheetData>
  <mergeCells count="9">
    <mergeCell ref="B7:H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6" sqref="B6:F6"/>
    </sheetView>
  </sheetViews>
  <sheetFormatPr defaultRowHeight="15" x14ac:dyDescent="0.25"/>
  <cols>
    <col min="1" max="2" width="9.140625" style="7"/>
    <col min="3" max="3" width="25.28515625" style="7" customWidth="1"/>
    <col min="4" max="4" width="20.28515625" style="7" customWidth="1"/>
    <col min="5" max="5" width="18.5703125" style="7" customWidth="1"/>
    <col min="6" max="6" width="17.28515625" style="7" customWidth="1"/>
    <col min="7" max="16384" width="9.140625" style="7"/>
  </cols>
  <sheetData>
    <row r="3" spans="2:6" x14ac:dyDescent="0.25">
      <c r="B3" s="67" t="s">
        <v>34</v>
      </c>
      <c r="C3" s="67"/>
      <c r="D3" s="67"/>
      <c r="E3" s="67"/>
      <c r="F3" s="67"/>
    </row>
    <row r="4" spans="2:6" ht="43.5" x14ac:dyDescent="0.25">
      <c r="B4" s="5" t="s">
        <v>1</v>
      </c>
      <c r="C4" s="3" t="s">
        <v>41</v>
      </c>
      <c r="D4" s="3" t="s">
        <v>45</v>
      </c>
      <c r="E4" s="3" t="s">
        <v>42</v>
      </c>
      <c r="F4" s="3" t="s">
        <v>43</v>
      </c>
    </row>
    <row r="5" spans="2:6" x14ac:dyDescent="0.25">
      <c r="B5" s="5" t="s">
        <v>44</v>
      </c>
      <c r="C5" s="5" t="s">
        <v>44</v>
      </c>
      <c r="D5" s="5" t="s">
        <v>44</v>
      </c>
      <c r="E5" s="5" t="s">
        <v>44</v>
      </c>
      <c r="F5" s="5" t="s">
        <v>44</v>
      </c>
    </row>
    <row r="6" spans="2:6" ht="24" customHeight="1" x14ac:dyDescent="0.25">
      <c r="B6" s="68"/>
      <c r="C6" s="69"/>
      <c r="D6" s="69"/>
      <c r="E6" s="69"/>
      <c r="F6" s="7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zoomScale="68" zoomScaleNormal="68" workbookViewId="0">
      <selection activeCell="I18" sqref="I18"/>
    </sheetView>
  </sheetViews>
  <sheetFormatPr defaultRowHeight="15" x14ac:dyDescent="0.25"/>
  <cols>
    <col min="3" max="3" width="26.5703125" customWidth="1"/>
    <col min="4" max="4" width="16.85546875" customWidth="1"/>
    <col min="5" max="5" width="17.140625" customWidth="1"/>
    <col min="6" max="6" width="17.42578125" customWidth="1"/>
    <col min="7" max="7" width="15.85546875" customWidth="1"/>
  </cols>
  <sheetData>
    <row r="2" spans="2:7" ht="15" customHeight="1" x14ac:dyDescent="0.25">
      <c r="B2" s="50" t="s">
        <v>35</v>
      </c>
      <c r="C2" s="51"/>
      <c r="D2" s="51"/>
      <c r="E2" s="51"/>
      <c r="F2" s="51"/>
      <c r="G2" s="51"/>
    </row>
    <row r="3" spans="2:7" ht="51" x14ac:dyDescent="0.25">
      <c r="B3" s="5" t="s">
        <v>1</v>
      </c>
      <c r="C3" s="26" t="s">
        <v>36</v>
      </c>
      <c r="D3" s="26" t="s">
        <v>37</v>
      </c>
      <c r="E3" s="26" t="s">
        <v>38</v>
      </c>
      <c r="F3" s="26" t="s">
        <v>39</v>
      </c>
      <c r="G3" s="26" t="s">
        <v>40</v>
      </c>
    </row>
    <row r="4" spans="2:7" ht="29.45" customHeight="1" x14ac:dyDescent="0.25">
      <c r="B4" s="27"/>
      <c r="C4" s="4" t="s">
        <v>54</v>
      </c>
      <c r="D4" s="9">
        <v>5202503</v>
      </c>
      <c r="E4" s="20" t="s">
        <v>130</v>
      </c>
      <c r="F4" s="5" t="s">
        <v>44</v>
      </c>
      <c r="G4" s="45">
        <v>6140716.2249999996</v>
      </c>
    </row>
    <row r="5" spans="2:7" ht="13.9" customHeight="1" x14ac:dyDescent="0.25"/>
    <row r="6" spans="2:7" hidden="1" x14ac:dyDescent="0.25">
      <c r="B6" s="27"/>
      <c r="C6" s="4"/>
      <c r="D6" s="9">
        <v>0</v>
      </c>
      <c r="E6" s="20"/>
      <c r="F6" s="9"/>
      <c r="G6" s="9">
        <v>0</v>
      </c>
    </row>
    <row r="7" spans="2:7" hidden="1" x14ac:dyDescent="0.25">
      <c r="B7" s="27"/>
      <c r="C7" s="4"/>
      <c r="D7" s="9">
        <v>0</v>
      </c>
      <c r="E7" s="20"/>
      <c r="F7" s="9"/>
      <c r="G7" s="9">
        <v>0</v>
      </c>
    </row>
    <row r="8" spans="2:7" hidden="1" x14ac:dyDescent="0.25">
      <c r="B8" s="27"/>
      <c r="C8" s="4"/>
      <c r="D8" s="9">
        <v>0</v>
      </c>
      <c r="E8" s="20"/>
      <c r="F8" s="9"/>
      <c r="G8" s="9">
        <v>0</v>
      </c>
    </row>
    <row r="9" spans="2:7" hidden="1" x14ac:dyDescent="0.25">
      <c r="B9" s="27"/>
      <c r="C9" s="4"/>
      <c r="D9" s="9">
        <v>0</v>
      </c>
      <c r="E9" s="20"/>
      <c r="F9" s="9"/>
      <c r="G9" s="9">
        <v>0</v>
      </c>
    </row>
    <row r="10" spans="2:7" hidden="1" x14ac:dyDescent="0.25">
      <c r="B10" s="27"/>
      <c r="C10" s="4"/>
      <c r="D10" s="9">
        <v>0</v>
      </c>
      <c r="E10" s="20"/>
      <c r="F10" s="9"/>
      <c r="G10" s="9">
        <v>0</v>
      </c>
    </row>
    <row r="11" spans="2:7" ht="3.6" hidden="1" customHeight="1" x14ac:dyDescent="0.25">
      <c r="B11" s="27"/>
      <c r="C11" s="4"/>
      <c r="D11" s="9"/>
      <c r="E11" s="20"/>
      <c r="F11" s="9"/>
      <c r="G11" s="9">
        <v>0</v>
      </c>
    </row>
    <row r="12" spans="2:7" hidden="1" x14ac:dyDescent="0.25">
      <c r="B12" s="27"/>
      <c r="C12" s="4"/>
      <c r="D12" s="4"/>
      <c r="E12" s="28"/>
      <c r="F12" s="4"/>
      <c r="G12" s="4"/>
    </row>
    <row r="13" spans="2:7" ht="18.75" x14ac:dyDescent="0.25">
      <c r="B13" s="1"/>
    </row>
  </sheetData>
  <autoFilter ref="E2:E25"/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КОФ</vt:lpstr>
      <vt:lpstr> выбр КОФ</vt:lpstr>
      <vt:lpstr>сброс КОФ</vt:lpstr>
      <vt:lpstr> сточн водах КОФ</vt:lpstr>
      <vt:lpstr>отх КОФ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2023-03-24T10:23:16Z</dcterms:modified>
</cp:coreProperties>
</file>