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240" windowHeight="12645" firstSheet="2" activeTab="4"/>
  </bookViews>
  <sheets>
    <sheet name="НОФ" sheetId="1" r:id="rId1"/>
    <sheet name=" выбр НОФ" sheetId="2" r:id="rId2"/>
    <sheet name="сброс НОФ" sheetId="9" r:id="rId3"/>
    <sheet name=" сточн водах НОФ" sheetId="4" r:id="rId4"/>
    <sheet name="отх НОФ" sheetId="8" r:id="rId5"/>
  </sheets>
  <definedNames>
    <definedName name="_xlnm._FilterDatabase" localSheetId="4" hidden="1">'отх НОФ'!$E$2:$E$25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5" i="2" l="1"/>
  <c r="AI13" i="2"/>
  <c r="AI12" i="2"/>
  <c r="AI10" i="2"/>
  <c r="AI9" i="2"/>
  <c r="AI8" i="2"/>
  <c r="AI48" i="2"/>
  <c r="AZ45" i="2" l="1"/>
  <c r="AZ44" i="2"/>
  <c r="AZ43" i="2"/>
  <c r="AZ42" i="2"/>
  <c r="AZ41" i="2"/>
  <c r="AZ40" i="2"/>
  <c r="AZ39" i="2"/>
  <c r="AZ38" i="2"/>
  <c r="AZ29" i="2"/>
  <c r="AX48" i="2"/>
  <c r="AV48" i="2"/>
  <c r="AV46" i="2"/>
  <c r="AV37" i="2"/>
  <c r="AV36" i="2"/>
  <c r="AV34" i="2"/>
  <c r="AV28" i="2"/>
  <c r="AV17" i="2"/>
  <c r="AV14" i="2"/>
  <c r="AV11" i="2"/>
  <c r="AV9" i="2"/>
  <c r="AT48" i="2"/>
  <c r="AT37" i="2"/>
  <c r="AT36" i="2"/>
  <c r="AT28" i="2"/>
  <c r="AT17" i="2"/>
  <c r="AT14" i="2"/>
  <c r="AT11" i="2"/>
  <c r="AT9" i="2"/>
  <c r="AR47" i="2"/>
  <c r="AR15" i="2"/>
  <c r="AR13" i="2"/>
  <c r="AR12" i="2"/>
  <c r="AR9" i="2"/>
  <c r="AP48" i="2"/>
  <c r="AP37" i="2"/>
  <c r="AP36" i="2"/>
  <c r="AP28" i="2"/>
  <c r="AP17" i="2"/>
  <c r="AP14" i="2"/>
  <c r="AP11" i="2"/>
  <c r="AP9" i="2"/>
  <c r="AN48" i="2"/>
  <c r="AN15" i="2"/>
  <c r="AN13" i="2"/>
  <c r="AN12" i="2"/>
  <c r="AN10" i="2"/>
  <c r="AN9" i="2"/>
  <c r="AN8" i="2"/>
  <c r="AL48" i="2"/>
  <c r="AL15" i="2"/>
  <c r="AL13" i="2"/>
  <c r="AL12" i="2"/>
  <c r="AL10" i="2"/>
  <c r="AL9" i="2"/>
  <c r="AL8" i="2"/>
  <c r="AJ48" i="2"/>
  <c r="AJ15" i="2"/>
  <c r="AJ13" i="2"/>
  <c r="AJ12" i="2"/>
  <c r="AJ10" i="2"/>
  <c r="AJ9" i="2"/>
  <c r="AJ8" i="2"/>
  <c r="AH48" i="2"/>
  <c r="AH15" i="2"/>
  <c r="AH13" i="2"/>
  <c r="AH12" i="2"/>
  <c r="AH10" i="2" l="1"/>
  <c r="AH9" i="2"/>
  <c r="AH8" i="2"/>
  <c r="AF48" i="2"/>
  <c r="AF15" i="2"/>
  <c r="AF13" i="2"/>
  <c r="AF12" i="2"/>
  <c r="AF10" i="2"/>
  <c r="AF9" i="2"/>
  <c r="AF8" i="2"/>
  <c r="AD32" i="2"/>
  <c r="AD30" i="2"/>
  <c r="AB34" i="2"/>
  <c r="AB31" i="2"/>
  <c r="AB30" i="2"/>
  <c r="AB18" i="2"/>
  <c r="AB10" i="2"/>
  <c r="Z28" i="2"/>
  <c r="Z25" i="2"/>
  <c r="Z24" i="2"/>
  <c r="Z20" i="2"/>
  <c r="Z17" i="2" l="1"/>
  <c r="X33" i="2"/>
  <c r="X26" i="2"/>
  <c r="V23" i="2"/>
  <c r="V22" i="2"/>
  <c r="V21" i="2"/>
  <c r="V20" i="2"/>
  <c r="V19" i="2"/>
  <c r="V13" i="2"/>
  <c r="T16" i="2"/>
  <c r="R35" i="2"/>
  <c r="R30" i="2"/>
  <c r="P48" i="2"/>
  <c r="P15" i="2"/>
  <c r="P13" i="2"/>
  <c r="P12" i="2"/>
  <c r="P10" i="2"/>
  <c r="P9" i="2"/>
  <c r="P8" i="2"/>
  <c r="N29" i="2"/>
  <c r="N27" i="2"/>
  <c r="L48" i="2"/>
  <c r="L15" i="2"/>
  <c r="L13" i="2"/>
  <c r="L12" i="2"/>
  <c r="L10" i="2"/>
  <c r="L9" i="2"/>
  <c r="L8" i="2"/>
  <c r="J48" i="2"/>
  <c r="J15" i="2"/>
  <c r="J13" i="2"/>
  <c r="J12" i="2"/>
  <c r="J10" i="2"/>
  <c r="J9" i="2"/>
  <c r="J8" i="2"/>
  <c r="H48" i="2"/>
  <c r="H15" i="2"/>
  <c r="H13" i="2"/>
  <c r="H12" i="2"/>
  <c r="H10" i="2"/>
  <c r="H9" i="2"/>
  <c r="H8" i="2"/>
  <c r="F48" i="2"/>
  <c r="F15" i="2"/>
  <c r="F13" i="2"/>
  <c r="F12" i="2"/>
  <c r="F10" i="2"/>
  <c r="F9" i="2"/>
  <c r="F8" i="2"/>
  <c r="C23" i="1" l="1"/>
</calcChain>
</file>

<file path=xl/comments1.xml><?xml version="1.0" encoding="utf-8"?>
<comments xmlns="http://schemas.openxmlformats.org/spreadsheetml/2006/main">
  <authors>
    <author>Автор</author>
  </authors>
  <commentList>
    <comment ref="L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0004
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0005
</t>
        </r>
      </text>
    </comment>
    <comment ref="P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0007
</t>
        </r>
      </text>
    </comment>
    <comment ref="R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0008,009</t>
        </r>
      </text>
    </comment>
    <comment ref="T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0010</t>
        </r>
      </text>
    </comment>
    <comment ref="V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0011-0017</t>
        </r>
      </text>
    </comment>
    <comment ref="X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0018-0023, 0042
</t>
        </r>
      </text>
    </comment>
    <comment ref="Z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0024-0035, 0043-0044
</t>
        </r>
      </text>
    </comment>
    <comment ref="AB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0036-0040
</t>
        </r>
      </text>
    </comment>
    <comment ref="AD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0041</t>
        </r>
      </text>
    </comment>
    <comment ref="AF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6001.6006,6007,6024
</t>
        </r>
      </text>
    </comment>
    <comment ref="AH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6008-6023</t>
        </r>
      </text>
    </comment>
    <comment ref="AJ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6029,6070,6031,6034,6048,6069,6028</t>
        </r>
      </text>
    </comment>
    <comment ref="AL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6002-6005
</t>
        </r>
      </text>
    </comment>
    <comment ref="AN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6025-6027</t>
        </r>
      </text>
    </comment>
    <comment ref="AP5" authorId="0" shapeId="0">
      <text>
        <r>
          <rPr>
            <sz val="9"/>
            <color indexed="81"/>
            <rFont val="Tahoma"/>
            <family val="2"/>
            <charset val="204"/>
          </rPr>
          <t xml:space="preserve">
6039</t>
        </r>
      </text>
    </comment>
    <comment ref="AR5" authorId="0" shapeId="0">
      <text>
        <r>
          <rPr>
            <sz val="9"/>
            <color indexed="81"/>
            <rFont val="Tahoma"/>
            <family val="2"/>
            <charset val="204"/>
          </rPr>
          <t>6040,6042</t>
        </r>
      </text>
    </comment>
    <comment ref="AT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6044, 6045,6046,6047
</t>
        </r>
      </text>
    </comment>
    <comment ref="AV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6067,6068
</t>
        </r>
      </text>
    </comment>
    <comment ref="AX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6071</t>
        </r>
      </text>
    </comment>
    <comment ref="AZ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6077</t>
        </r>
      </text>
    </comment>
  </commentList>
</comments>
</file>

<file path=xl/sharedStrings.xml><?xml version="1.0" encoding="utf-8"?>
<sst xmlns="http://schemas.openxmlformats.org/spreadsheetml/2006/main" count="252" uniqueCount="143">
  <si>
    <t>№ п/п</t>
  </si>
  <si>
    <t>№</t>
  </si>
  <si>
    <t>Общие сведения</t>
  </si>
  <si>
    <t>Наименование</t>
  </si>
  <si>
    <t>Данные</t>
  </si>
  <si>
    <t>Наименование предприятия (оператор объекта)</t>
  </si>
  <si>
    <t>БИН предприятия</t>
  </si>
  <si>
    <t>Почтовый адрес предприятия</t>
  </si>
  <si>
    <t>ФИО первого руководителя предприятия</t>
  </si>
  <si>
    <t>ФИО лица, уполномоченного соответствующим оператором на представление от его имени информации в Регистр выбросов и переноса загрязнителей, подписывающего данные электронной цифровой подписью</t>
  </si>
  <si>
    <t>Отчетный год</t>
  </si>
  <si>
    <t>Номер/наименование промышленной площадки (в случае наличия)</t>
  </si>
  <si>
    <t>Фактический адрес промышленной площадки:</t>
  </si>
  <si>
    <t>8.1.</t>
  </si>
  <si>
    <t>Область</t>
  </si>
  <si>
    <t>8.2.</t>
  </si>
  <si>
    <t>Город</t>
  </si>
  <si>
    <t>8.3.</t>
  </si>
  <si>
    <t>улица/участок</t>
  </si>
  <si>
    <t>8.4.</t>
  </si>
  <si>
    <t>№ дома /строения/участка</t>
  </si>
  <si>
    <t>Географические координаты промышленной площадки (ее границы по периметру и местоположение) (градусы, минуты, секунды)</t>
  </si>
  <si>
    <t>Тип методологии, использовавшейся для получения информации о количествах загрязнителей и отходов</t>
  </si>
  <si>
    <t>Данные по объекту</t>
  </si>
  <si>
    <t>Наименование объекта, по которому представляется отчетность*</t>
  </si>
  <si>
    <t>Вид деятельности объекта, по которому представляется отчетность **</t>
  </si>
  <si>
    <t>Данные о выбросе загрязнителей в атмосферу за отчетный год</t>
  </si>
  <si>
    <t>Номер по CAS</t>
  </si>
  <si>
    <t>Категория (группа) веществ</t>
  </si>
  <si>
    <t>Наименование загрязнителя*</t>
  </si>
  <si>
    <t>Количество каждого загрязнителя, выброс которого был осуществлен в атмосферный воздух на объекте за отчетный год отдельно по каждому стационарному источнику объекта, кг/год **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</si>
  <si>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</si>
  <si>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всего (плановые)</t>
  </si>
  <si>
    <t>в результате аварии</t>
  </si>
  <si>
    <t>Перенос загрязнителей в сточных водах за пределы участка*</t>
  </si>
  <si>
    <t xml:space="preserve"> Данные об объемах отходов </t>
  </si>
  <si>
    <t>Вид отхода</t>
  </si>
  <si>
    <t>Объем, накопленных отходов на начало отчетного года (т)</t>
  </si>
  <si>
    <t>Код отхода в соответствии с классификатором отходов*</t>
  </si>
  <si>
    <t>Вид операции, которому подвергается отход ("У"/ "В")</t>
  </si>
  <si>
    <t>Остаток отходов на конец отчетного года (т)</t>
  </si>
  <si>
    <r>
      <t>Объем переданных стоков сторонним организациям (м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0"/>
        <color rgb="FF000000"/>
        <rFont val="Times New Roman"/>
        <family val="1"/>
        <charset val="204"/>
      </rPr>
      <t>)*</t>
    </r>
  </si>
  <si>
    <r>
      <t>Повторное использование (м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0"/>
        <color rgb="FF000000"/>
        <rFont val="Times New Roman"/>
        <family val="1"/>
        <charset val="204"/>
      </rPr>
      <t>)</t>
    </r>
  </si>
  <si>
    <t>* Объем закачки воды в пласт (м3)</t>
  </si>
  <si>
    <t>-</t>
  </si>
  <si>
    <r>
      <t>Оборотное использование (м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0"/>
        <color rgb="FF000000"/>
        <rFont val="Times New Roman"/>
        <family val="1"/>
        <charset val="204"/>
      </rPr>
      <t>)-факт</t>
    </r>
  </si>
  <si>
    <t>Сероводород</t>
  </si>
  <si>
    <t>Оксид углерода</t>
  </si>
  <si>
    <t xml:space="preserve">Пыль неорганическая 70-20 % </t>
  </si>
  <si>
    <t>Р</t>
  </si>
  <si>
    <t>060441000268</t>
  </si>
  <si>
    <t>Азота (IV) диоксид</t>
  </si>
  <si>
    <t>Азота (II) оксид</t>
  </si>
  <si>
    <t>Серы диоксид</t>
  </si>
  <si>
    <t>Нурказганская обогатительная фабрика</t>
  </si>
  <si>
    <t>Оксид алюминия</t>
  </si>
  <si>
    <t>Железа оксид</t>
  </si>
  <si>
    <t>Оксид кальция</t>
  </si>
  <si>
    <t>Оксид меди</t>
  </si>
  <si>
    <t>Аэрозоль свинца</t>
  </si>
  <si>
    <t>Оксид цинка</t>
  </si>
  <si>
    <t>Дигидрооксид кальция</t>
  </si>
  <si>
    <t>Азотная кислота</t>
  </si>
  <si>
    <t>Аммиак</t>
  </si>
  <si>
    <t>Соляная кислота</t>
  </si>
  <si>
    <t>Серная кислота</t>
  </si>
  <si>
    <t>Мышьяк</t>
  </si>
  <si>
    <t>Сажа (углерод)</t>
  </si>
  <si>
    <t>Спирт н-бутиловый</t>
  </si>
  <si>
    <t>Спирт изогексиловый</t>
  </si>
  <si>
    <t>Бутилдитиокарбонат калия</t>
  </si>
  <si>
    <t>Бутан-2-ол</t>
  </si>
  <si>
    <t>Углеводороды предельные С12-С19</t>
  </si>
  <si>
    <t>Взвешенные частицы</t>
  </si>
  <si>
    <t>Полиакриламид анионный</t>
  </si>
  <si>
    <t>Аспирационная система №1</t>
  </si>
  <si>
    <t>Аспирационная система №2</t>
  </si>
  <si>
    <t>Аспирационная система №3</t>
  </si>
  <si>
    <t>Аспирационная система №4</t>
  </si>
  <si>
    <t>Аспирационная система №6</t>
  </si>
  <si>
    <t>Реагентное отделение №1</t>
  </si>
  <si>
    <t>Сероуглерод</t>
  </si>
  <si>
    <t>Реагентное отделение №2</t>
  </si>
  <si>
    <t>Резервуары дизельного топлива</t>
  </si>
  <si>
    <t>Теплогенераторы</t>
  </si>
  <si>
    <t>Склад реагентов</t>
  </si>
  <si>
    <t>Крышной вентилятор</t>
  </si>
  <si>
    <t>Помещение лаборатории</t>
  </si>
  <si>
    <t>Корпус среднего и мелкого дробления (КСМД)</t>
  </si>
  <si>
    <t>Мобильный дробильный комплекс "Nordberg" (МДК)</t>
  </si>
  <si>
    <t>Корпус тонкого дробления</t>
  </si>
  <si>
    <t>Склад дробленной руды №1</t>
  </si>
  <si>
    <t>Склад дробленной руды №2</t>
  </si>
  <si>
    <t>Главный корпус: Отделение сгущения хвостов</t>
  </si>
  <si>
    <t>Пункт загрузки концентрата</t>
  </si>
  <si>
    <t>Марганец и его соединения</t>
  </si>
  <si>
    <t>Оксид хрома</t>
  </si>
  <si>
    <t>Фтористые соединения газообразные</t>
  </si>
  <si>
    <t>Фториды</t>
  </si>
  <si>
    <t>Пыль неорганическая (ниже 20% SiO2)</t>
  </si>
  <si>
    <t>Ремонтный участок</t>
  </si>
  <si>
    <t>Шиномонтажный цех</t>
  </si>
  <si>
    <t>Пыль абразивная</t>
  </si>
  <si>
    <t xml:space="preserve"> </t>
  </si>
  <si>
    <t>Хвостохранилище (сдувание пляжей)</t>
  </si>
  <si>
    <t>Вспомогательные работы (Покрасочные работы)</t>
  </si>
  <si>
    <t>Ксилол</t>
  </si>
  <si>
    <t>Толуол</t>
  </si>
  <si>
    <t>Спирт этиловый</t>
  </si>
  <si>
    <t>Этилцеллозольв</t>
  </si>
  <si>
    <t>Бутилацетат</t>
  </si>
  <si>
    <t>Ацетон</t>
  </si>
  <si>
    <t>Сольвент нафта</t>
  </si>
  <si>
    <t>Уайт-спирит</t>
  </si>
  <si>
    <t xml:space="preserve">Хвосты обогащения </t>
  </si>
  <si>
    <t>630-08-0</t>
  </si>
  <si>
    <t>7664-41-7</t>
  </si>
  <si>
    <t>7440-50-8</t>
  </si>
  <si>
    <t xml:space="preserve">Обогащение медной руды </t>
  </si>
  <si>
    <t>филиала ТОО "Корпорация Казахмыс"</t>
  </si>
  <si>
    <t>ПО "Карагандацветмет"</t>
  </si>
  <si>
    <t>исп.: Дузбаева А. К.</t>
  </si>
  <si>
    <t>т.: 95 71 18</t>
  </si>
  <si>
    <t>green6@kazakhmys.kz</t>
  </si>
  <si>
    <t>Карагандинская область,
г. Караганда, пр. Строителей, 35а</t>
  </si>
  <si>
    <t>Бухар-Жырауский район, промплощадка</t>
  </si>
  <si>
    <t>Карагандинская</t>
  </si>
  <si>
    <t>50.167824 с.ш.,
73.004075 в.д.</t>
  </si>
  <si>
    <t>7440-47-3</t>
  </si>
  <si>
    <t>7440-66-6</t>
  </si>
  <si>
    <t>7440-38-2</t>
  </si>
  <si>
    <t>1330-20-7</t>
  </si>
  <si>
    <t>108-88-3</t>
  </si>
  <si>
    <t>Данные о сбросах сточных вод в воду за отчетный год</t>
  </si>
  <si>
    <t>Объем, кг/год *</t>
  </si>
  <si>
    <t>стационарный источник</t>
  </si>
  <si>
    <t>сбросов в водные объекты отсутствуют.</t>
  </si>
  <si>
    <t>10024-97-2</t>
  </si>
  <si>
    <t>Нурекин Д. К.</t>
  </si>
  <si>
    <t>2022 год</t>
  </si>
  <si>
    <t>Д. К. Нурекин</t>
  </si>
  <si>
    <t>И.о. генерального директора</t>
  </si>
  <si>
    <t>01 03 06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</si>
</sst>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CFCFCF"/>
      </right>
      <top/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/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right"/>
    </xf>
    <xf numFmtId="0" fontId="11" fillId="0" borderId="0" xfId="0" applyFont="1"/>
    <xf numFmtId="0" fontId="13" fillId="0" borderId="0" xfId="1" applyFont="1"/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" fontId="1" fillId="0" borderId="6" xfId="0" applyNumberFormat="1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een6@kazakhmys.k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4"/>
  <sheetViews>
    <sheetView topLeftCell="A25" workbookViewId="0">
      <selection activeCell="D8" sqref="D8"/>
    </sheetView>
  </sheetViews>
  <sheetFormatPr defaultRowHeight="15" x14ac:dyDescent="0.25"/>
  <cols>
    <col min="1" max="1" width="3.5703125" bestFit="1" customWidth="1"/>
    <col min="2" max="2" width="53.85546875" customWidth="1"/>
    <col min="3" max="3" width="45" customWidth="1"/>
  </cols>
  <sheetData>
    <row r="2" spans="1:3" x14ac:dyDescent="0.25">
      <c r="A2" s="47" t="s">
        <v>2</v>
      </c>
      <c r="B2" s="47"/>
      <c r="C2" s="47"/>
    </row>
    <row r="3" spans="1:3" ht="25.5" x14ac:dyDescent="0.25">
      <c r="A3" s="8" t="s">
        <v>0</v>
      </c>
      <c r="B3" s="8" t="s">
        <v>3</v>
      </c>
      <c r="C3" s="8" t="s">
        <v>4</v>
      </c>
    </row>
    <row r="4" spans="1:3" x14ac:dyDescent="0.25">
      <c r="A4" s="3">
        <v>1</v>
      </c>
      <c r="B4" s="3">
        <v>2</v>
      </c>
      <c r="C4" s="3">
        <v>3</v>
      </c>
    </row>
    <row r="5" spans="1:3" ht="24" customHeight="1" x14ac:dyDescent="0.25">
      <c r="A5" s="10">
        <v>1</v>
      </c>
      <c r="B5" s="14" t="s">
        <v>5</v>
      </c>
      <c r="C5" s="5" t="s">
        <v>54</v>
      </c>
    </row>
    <row r="6" spans="1:3" x14ac:dyDescent="0.25">
      <c r="A6" s="10">
        <v>2</v>
      </c>
      <c r="B6" s="14" t="s">
        <v>6</v>
      </c>
      <c r="C6" s="20" t="s">
        <v>50</v>
      </c>
    </row>
    <row r="7" spans="1:3" ht="30.75" customHeight="1" x14ac:dyDescent="0.25">
      <c r="A7" s="10">
        <v>3</v>
      </c>
      <c r="B7" s="14" t="s">
        <v>7</v>
      </c>
      <c r="C7" s="5" t="s">
        <v>124</v>
      </c>
    </row>
    <row r="8" spans="1:3" x14ac:dyDescent="0.25">
      <c r="A8" s="10">
        <v>4</v>
      </c>
      <c r="B8" s="14" t="s">
        <v>8</v>
      </c>
      <c r="C8" s="5" t="s">
        <v>138</v>
      </c>
    </row>
    <row r="9" spans="1:3" ht="54.75" customHeight="1" x14ac:dyDescent="0.25">
      <c r="A9" s="10">
        <v>5</v>
      </c>
      <c r="B9" s="14" t="s">
        <v>9</v>
      </c>
      <c r="C9" s="41" t="s">
        <v>44</v>
      </c>
    </row>
    <row r="10" spans="1:3" x14ac:dyDescent="0.25">
      <c r="A10" s="10">
        <v>6</v>
      </c>
      <c r="B10" s="14" t="s">
        <v>10</v>
      </c>
      <c r="C10" s="5" t="s">
        <v>139</v>
      </c>
    </row>
    <row r="11" spans="1:3" ht="29.25" customHeight="1" x14ac:dyDescent="0.25">
      <c r="A11" s="10">
        <v>7</v>
      </c>
      <c r="B11" s="14" t="s">
        <v>11</v>
      </c>
      <c r="C11" s="5" t="s">
        <v>44</v>
      </c>
    </row>
    <row r="12" spans="1:3" x14ac:dyDescent="0.25">
      <c r="A12" s="10">
        <v>8</v>
      </c>
      <c r="B12" s="14" t="s">
        <v>12</v>
      </c>
      <c r="C12" s="5" t="s">
        <v>125</v>
      </c>
    </row>
    <row r="13" spans="1:3" x14ac:dyDescent="0.25">
      <c r="A13" s="10" t="s">
        <v>13</v>
      </c>
      <c r="B13" s="14" t="s">
        <v>14</v>
      </c>
      <c r="C13" s="5" t="s">
        <v>126</v>
      </c>
    </row>
    <row r="14" spans="1:3" x14ac:dyDescent="0.25">
      <c r="A14" s="10" t="s">
        <v>15</v>
      </c>
      <c r="B14" s="14" t="s">
        <v>16</v>
      </c>
      <c r="C14" s="5" t="s">
        <v>44</v>
      </c>
    </row>
    <row r="15" spans="1:3" x14ac:dyDescent="0.25">
      <c r="A15" s="10" t="s">
        <v>17</v>
      </c>
      <c r="B15" s="14" t="s">
        <v>18</v>
      </c>
      <c r="C15" s="5" t="s">
        <v>44</v>
      </c>
    </row>
    <row r="16" spans="1:3" x14ac:dyDescent="0.25">
      <c r="A16" s="10" t="s">
        <v>19</v>
      </c>
      <c r="B16" s="14" t="s">
        <v>20</v>
      </c>
      <c r="C16" s="5" t="s">
        <v>44</v>
      </c>
    </row>
    <row r="17" spans="1:3" ht="41.25" customHeight="1" x14ac:dyDescent="0.25">
      <c r="A17" s="10">
        <v>9</v>
      </c>
      <c r="B17" s="15" t="s">
        <v>21</v>
      </c>
      <c r="C17" s="41" t="s">
        <v>127</v>
      </c>
    </row>
    <row r="18" spans="1:3" ht="25.5" x14ac:dyDescent="0.25">
      <c r="A18" s="10">
        <v>10</v>
      </c>
      <c r="B18" s="15" t="s">
        <v>22</v>
      </c>
      <c r="C18" s="42"/>
    </row>
    <row r="19" spans="1:3" ht="15.75" thickBot="1" x14ac:dyDescent="0.3">
      <c r="A19" s="12"/>
      <c r="B19" s="13"/>
      <c r="C19" s="11"/>
    </row>
    <row r="20" spans="1:3" ht="17.25" customHeight="1" x14ac:dyDescent="0.25">
      <c r="A20" s="44" t="s">
        <v>23</v>
      </c>
      <c r="B20" s="45"/>
      <c r="C20" s="46"/>
    </row>
    <row r="21" spans="1:3" ht="25.5" x14ac:dyDescent="0.25">
      <c r="A21" s="8" t="s">
        <v>0</v>
      </c>
      <c r="B21" s="8" t="s">
        <v>3</v>
      </c>
      <c r="C21" s="8" t="s">
        <v>4</v>
      </c>
    </row>
    <row r="22" spans="1:3" x14ac:dyDescent="0.25">
      <c r="A22" s="3">
        <v>1</v>
      </c>
      <c r="B22" s="3">
        <v>2</v>
      </c>
      <c r="C22" s="3">
        <v>3</v>
      </c>
    </row>
    <row r="23" spans="1:3" ht="25.5" x14ac:dyDescent="0.25">
      <c r="A23" s="10">
        <v>1</v>
      </c>
      <c r="B23" s="6" t="s">
        <v>24</v>
      </c>
      <c r="C23" s="5" t="str">
        <f>C5</f>
        <v>Нурказганская обогатительная фабрика</v>
      </c>
    </row>
    <row r="24" spans="1:3" ht="25.5" x14ac:dyDescent="0.25">
      <c r="A24" s="10">
        <v>2</v>
      </c>
      <c r="B24" s="6" t="s">
        <v>25</v>
      </c>
      <c r="C24" s="5" t="s">
        <v>118</v>
      </c>
    </row>
    <row r="27" spans="1:3" ht="15.75" x14ac:dyDescent="0.25">
      <c r="B27" s="36" t="s">
        <v>141</v>
      </c>
      <c r="C27" s="37"/>
    </row>
    <row r="28" spans="1:3" ht="15.75" x14ac:dyDescent="0.25">
      <c r="B28" s="36" t="s">
        <v>119</v>
      </c>
      <c r="C28" s="37"/>
    </row>
    <row r="29" spans="1:3" ht="15.75" x14ac:dyDescent="0.25">
      <c r="B29" s="36" t="s">
        <v>120</v>
      </c>
      <c r="C29" s="38" t="s">
        <v>140</v>
      </c>
    </row>
    <row r="30" spans="1:3" ht="15.75" x14ac:dyDescent="0.25">
      <c r="B30" s="37"/>
      <c r="C30" s="37"/>
    </row>
    <row r="31" spans="1:3" ht="15.75" x14ac:dyDescent="0.25">
      <c r="B31" s="37"/>
      <c r="C31" s="37"/>
    </row>
    <row r="32" spans="1:3" ht="15.75" x14ac:dyDescent="0.25">
      <c r="B32" s="39" t="s">
        <v>121</v>
      </c>
      <c r="C32" s="37"/>
    </row>
    <row r="33" spans="2:3" ht="15.75" x14ac:dyDescent="0.25">
      <c r="B33" s="39" t="s">
        <v>122</v>
      </c>
      <c r="C33" s="37"/>
    </row>
    <row r="34" spans="2:3" ht="15.75" x14ac:dyDescent="0.25">
      <c r="B34" s="40" t="s">
        <v>123</v>
      </c>
      <c r="C34" s="37"/>
    </row>
  </sheetData>
  <mergeCells count="2">
    <mergeCell ref="A20:C20"/>
    <mergeCell ref="A2:C2"/>
  </mergeCells>
  <hyperlinks>
    <hyperlink ref="B34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BB50"/>
  <sheetViews>
    <sheetView view="pageBreakPreview" zoomScale="60" zoomScaleNormal="78" workbookViewId="0">
      <pane xSplit="5" ySplit="6" topLeftCell="AN7" activePane="bottomRight" state="frozen"/>
      <selection pane="topRight" activeCell="F1" sqref="F1"/>
      <selection pane="bottomLeft" activeCell="A7" sqref="A7"/>
      <selection pane="bottomRight" activeCell="AW57" sqref="AW57:AX57"/>
    </sheetView>
  </sheetViews>
  <sheetFormatPr defaultRowHeight="15" x14ac:dyDescent="0.25"/>
  <cols>
    <col min="1" max="1" width="9.140625" style="2"/>
    <col min="2" max="2" width="11.28515625" style="2" customWidth="1"/>
    <col min="3" max="3" width="14.7109375" style="2" customWidth="1"/>
    <col min="4" max="4" width="14.85546875" style="2" customWidth="1"/>
    <col min="5" max="5" width="20.42578125" style="2" customWidth="1"/>
    <col min="6" max="6" width="12.7109375" style="2" customWidth="1"/>
    <col min="7" max="7" width="13.140625" style="2" customWidth="1"/>
    <col min="8" max="8" width="12.42578125" style="2" customWidth="1"/>
    <col min="9" max="9" width="11.42578125" style="2" customWidth="1"/>
    <col min="10" max="10" width="10.5703125" style="2" customWidth="1"/>
    <col min="11" max="23" width="12.140625" style="2" customWidth="1"/>
    <col min="24" max="24" width="13.42578125" style="2" customWidth="1"/>
    <col min="25" max="53" width="12.140625" style="2" customWidth="1"/>
    <col min="54" max="54" width="32.85546875" style="2" customWidth="1"/>
    <col min="55" max="16384" width="9.140625" style="2"/>
  </cols>
  <sheetData>
    <row r="2" spans="2:54" ht="19.5" customHeight="1" x14ac:dyDescent="0.25">
      <c r="B2" s="49" t="s">
        <v>26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1"/>
    </row>
    <row r="3" spans="2:54" ht="13.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</row>
    <row r="4" spans="2:54" ht="30" customHeight="1" x14ac:dyDescent="0.25">
      <c r="B4" s="52" t="s">
        <v>0</v>
      </c>
      <c r="C4" s="52" t="s">
        <v>27</v>
      </c>
      <c r="D4" s="52" t="s">
        <v>28</v>
      </c>
      <c r="E4" s="52" t="s">
        <v>29</v>
      </c>
      <c r="F4" s="59" t="s">
        <v>30</v>
      </c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56" t="s">
        <v>31</v>
      </c>
    </row>
    <row r="5" spans="2:54" ht="36.75" customHeight="1" x14ac:dyDescent="0.25">
      <c r="B5" s="52"/>
      <c r="C5" s="52"/>
      <c r="D5" s="52"/>
      <c r="E5" s="52"/>
      <c r="F5" s="48" t="s">
        <v>75</v>
      </c>
      <c r="G5" s="48"/>
      <c r="H5" s="48" t="s">
        <v>76</v>
      </c>
      <c r="I5" s="48"/>
      <c r="J5" s="48" t="s">
        <v>77</v>
      </c>
      <c r="K5" s="48"/>
      <c r="L5" s="48" t="s">
        <v>79</v>
      </c>
      <c r="M5" s="48"/>
      <c r="N5" s="48" t="s">
        <v>80</v>
      </c>
      <c r="O5" s="48"/>
      <c r="P5" s="48" t="s">
        <v>78</v>
      </c>
      <c r="Q5" s="48"/>
      <c r="R5" s="48" t="s">
        <v>80</v>
      </c>
      <c r="S5" s="48"/>
      <c r="T5" s="48" t="s">
        <v>82</v>
      </c>
      <c r="U5" s="48"/>
      <c r="V5" s="48" t="s">
        <v>87</v>
      </c>
      <c r="W5" s="48"/>
      <c r="X5" s="48" t="s">
        <v>83</v>
      </c>
      <c r="Y5" s="48"/>
      <c r="Z5" s="48" t="s">
        <v>84</v>
      </c>
      <c r="AA5" s="48"/>
      <c r="AB5" s="48" t="s">
        <v>85</v>
      </c>
      <c r="AC5" s="48"/>
      <c r="AD5" s="48" t="s">
        <v>86</v>
      </c>
      <c r="AE5" s="48"/>
      <c r="AF5" s="48" t="s">
        <v>88</v>
      </c>
      <c r="AG5" s="48"/>
      <c r="AH5" s="48" t="s">
        <v>89</v>
      </c>
      <c r="AI5" s="48"/>
      <c r="AJ5" s="48" t="s">
        <v>90</v>
      </c>
      <c r="AK5" s="48"/>
      <c r="AL5" s="48" t="s">
        <v>91</v>
      </c>
      <c r="AM5" s="48"/>
      <c r="AN5" s="48" t="s">
        <v>92</v>
      </c>
      <c r="AO5" s="48"/>
      <c r="AP5" s="48" t="s">
        <v>93</v>
      </c>
      <c r="AQ5" s="48"/>
      <c r="AR5" s="48" t="s">
        <v>94</v>
      </c>
      <c r="AS5" s="48"/>
      <c r="AT5" s="48" t="s">
        <v>100</v>
      </c>
      <c r="AU5" s="48"/>
      <c r="AV5" s="48" t="s">
        <v>101</v>
      </c>
      <c r="AW5" s="48"/>
      <c r="AX5" s="53" t="s">
        <v>104</v>
      </c>
      <c r="AY5" s="54"/>
      <c r="AZ5" s="53" t="s">
        <v>105</v>
      </c>
      <c r="BA5" s="54"/>
      <c r="BB5" s="57"/>
    </row>
    <row r="6" spans="2:54" ht="30.75" customHeight="1" x14ac:dyDescent="0.25">
      <c r="B6" s="52"/>
      <c r="C6" s="52"/>
      <c r="D6" s="52"/>
      <c r="E6" s="52"/>
      <c r="F6" s="3" t="s">
        <v>32</v>
      </c>
      <c r="G6" s="3" t="s">
        <v>33</v>
      </c>
      <c r="H6" s="3" t="s">
        <v>32</v>
      </c>
      <c r="I6" s="3" t="s">
        <v>33</v>
      </c>
      <c r="J6" s="3" t="s">
        <v>32</v>
      </c>
      <c r="K6" s="3" t="s">
        <v>33</v>
      </c>
      <c r="L6" s="23" t="s">
        <v>32</v>
      </c>
      <c r="M6" s="23" t="s">
        <v>33</v>
      </c>
      <c r="N6" s="29" t="s">
        <v>32</v>
      </c>
      <c r="O6" s="29" t="s">
        <v>33</v>
      </c>
      <c r="P6" s="23" t="s">
        <v>32</v>
      </c>
      <c r="Q6" s="23" t="s">
        <v>33</v>
      </c>
      <c r="R6" s="23" t="s">
        <v>32</v>
      </c>
      <c r="S6" s="23" t="s">
        <v>33</v>
      </c>
      <c r="T6" s="23" t="s">
        <v>32</v>
      </c>
      <c r="U6" s="23" t="s">
        <v>33</v>
      </c>
      <c r="V6" s="30" t="s">
        <v>32</v>
      </c>
      <c r="W6" s="30" t="s">
        <v>33</v>
      </c>
      <c r="X6" s="27" t="s">
        <v>32</v>
      </c>
      <c r="Y6" s="27" t="s">
        <v>33</v>
      </c>
      <c r="Z6" s="28" t="s">
        <v>32</v>
      </c>
      <c r="AA6" s="28" t="s">
        <v>33</v>
      </c>
      <c r="AB6" s="28" t="s">
        <v>32</v>
      </c>
      <c r="AC6" s="28" t="s">
        <v>33</v>
      </c>
      <c r="AD6" s="28" t="s">
        <v>32</v>
      </c>
      <c r="AE6" s="28" t="s">
        <v>33</v>
      </c>
      <c r="AF6" s="28" t="s">
        <v>32</v>
      </c>
      <c r="AG6" s="28" t="s">
        <v>33</v>
      </c>
      <c r="AH6" s="28" t="s">
        <v>32</v>
      </c>
      <c r="AI6" s="28" t="s">
        <v>33</v>
      </c>
      <c r="AJ6" s="28" t="s">
        <v>32</v>
      </c>
      <c r="AK6" s="28" t="s">
        <v>33</v>
      </c>
      <c r="AL6" s="28" t="s">
        <v>32</v>
      </c>
      <c r="AM6" s="28" t="s">
        <v>33</v>
      </c>
      <c r="AN6" s="28" t="s">
        <v>32</v>
      </c>
      <c r="AO6" s="28" t="s">
        <v>33</v>
      </c>
      <c r="AP6" s="28" t="s">
        <v>32</v>
      </c>
      <c r="AQ6" s="28" t="s">
        <v>33</v>
      </c>
      <c r="AR6" s="28" t="s">
        <v>32</v>
      </c>
      <c r="AS6" s="28" t="s">
        <v>33</v>
      </c>
      <c r="AT6" s="28" t="s">
        <v>32</v>
      </c>
      <c r="AU6" s="28" t="s">
        <v>33</v>
      </c>
      <c r="AV6" s="28" t="s">
        <v>32</v>
      </c>
      <c r="AW6" s="28" t="s">
        <v>33</v>
      </c>
      <c r="AX6" s="28" t="s">
        <v>32</v>
      </c>
      <c r="AY6" s="28" t="s">
        <v>33</v>
      </c>
      <c r="AZ6" s="28" t="s">
        <v>32</v>
      </c>
      <c r="BA6" s="28" t="s">
        <v>33</v>
      </c>
      <c r="BB6" s="58"/>
    </row>
    <row r="7" spans="2:54" x14ac:dyDescent="0.25">
      <c r="B7" s="16">
        <v>1</v>
      </c>
      <c r="C7" s="16">
        <v>2</v>
      </c>
      <c r="D7" s="16">
        <v>3</v>
      </c>
      <c r="E7" s="16">
        <v>4</v>
      </c>
      <c r="F7" s="16">
        <v>5</v>
      </c>
      <c r="G7" s="16">
        <v>6</v>
      </c>
      <c r="H7" s="16">
        <v>7</v>
      </c>
      <c r="I7" s="16">
        <v>8</v>
      </c>
      <c r="J7" s="16">
        <v>9</v>
      </c>
      <c r="K7" s="16">
        <v>10</v>
      </c>
      <c r="L7" s="23">
        <v>11</v>
      </c>
      <c r="M7" s="23">
        <v>12</v>
      </c>
      <c r="N7" s="29">
        <v>13</v>
      </c>
      <c r="O7" s="29">
        <v>14</v>
      </c>
      <c r="P7" s="23">
        <v>15</v>
      </c>
      <c r="Q7" s="23">
        <v>16</v>
      </c>
      <c r="R7" s="23">
        <v>17</v>
      </c>
      <c r="S7" s="23">
        <v>18</v>
      </c>
      <c r="T7" s="23">
        <v>19</v>
      </c>
      <c r="U7" s="23">
        <v>20</v>
      </c>
      <c r="V7" s="30">
        <v>21</v>
      </c>
      <c r="W7" s="30">
        <v>22</v>
      </c>
      <c r="X7" s="27">
        <v>23</v>
      </c>
      <c r="Y7" s="27">
        <v>24</v>
      </c>
      <c r="Z7" s="28">
        <v>25</v>
      </c>
      <c r="AA7" s="28">
        <v>26</v>
      </c>
      <c r="AB7" s="28">
        <v>27</v>
      </c>
      <c r="AC7" s="28">
        <v>28</v>
      </c>
      <c r="AD7" s="28">
        <v>29</v>
      </c>
      <c r="AE7" s="28">
        <v>30</v>
      </c>
      <c r="AF7" s="28">
        <v>31</v>
      </c>
      <c r="AG7" s="28">
        <v>32</v>
      </c>
      <c r="AH7" s="28">
        <v>33</v>
      </c>
      <c r="AI7" s="28">
        <v>34</v>
      </c>
      <c r="AJ7" s="28">
        <v>35</v>
      </c>
      <c r="AK7" s="28">
        <v>36</v>
      </c>
      <c r="AL7" s="28">
        <v>37</v>
      </c>
      <c r="AM7" s="28">
        <v>38</v>
      </c>
      <c r="AN7" s="28">
        <v>39</v>
      </c>
      <c r="AO7" s="28">
        <v>40</v>
      </c>
      <c r="AP7" s="28">
        <v>41</v>
      </c>
      <c r="AQ7" s="28">
        <v>42</v>
      </c>
      <c r="AR7" s="28">
        <v>43</v>
      </c>
      <c r="AS7" s="28">
        <v>44</v>
      </c>
      <c r="AT7" s="28">
        <v>45</v>
      </c>
      <c r="AU7" s="28">
        <v>46</v>
      </c>
      <c r="AV7" s="28">
        <v>47</v>
      </c>
      <c r="AW7" s="28">
        <v>48</v>
      </c>
      <c r="AX7" s="28">
        <v>49</v>
      </c>
      <c r="AY7" s="28">
        <v>50</v>
      </c>
      <c r="AZ7" s="28">
        <v>51</v>
      </c>
      <c r="BA7" s="28">
        <v>52</v>
      </c>
      <c r="BB7" s="16">
        <v>53</v>
      </c>
    </row>
    <row r="8" spans="2:54" hidden="1" x14ac:dyDescent="0.25">
      <c r="B8" s="23"/>
      <c r="C8" s="23"/>
      <c r="D8" s="23"/>
      <c r="E8" s="25" t="s">
        <v>55</v>
      </c>
      <c r="F8" s="25">
        <f>1.369815*1000</f>
        <v>1369.8150000000001</v>
      </c>
      <c r="G8" s="26">
        <v>0</v>
      </c>
      <c r="H8" s="26">
        <f>2.67225*1000</f>
        <v>2672.25</v>
      </c>
      <c r="I8" s="26">
        <v>0</v>
      </c>
      <c r="J8" s="26">
        <f>6.063*1000</f>
        <v>6063</v>
      </c>
      <c r="K8" s="26">
        <v>0</v>
      </c>
      <c r="L8" s="26">
        <f>3.61599*1000</f>
        <v>3615.9900000000002</v>
      </c>
      <c r="M8" s="26">
        <v>0</v>
      </c>
      <c r="N8" s="26"/>
      <c r="O8" s="26">
        <v>0</v>
      </c>
      <c r="P8" s="26">
        <f>7.5212*1000</f>
        <v>7521.2000000000007</v>
      </c>
      <c r="Q8" s="26">
        <v>0</v>
      </c>
      <c r="R8" s="26"/>
      <c r="S8" s="26">
        <v>0</v>
      </c>
      <c r="T8" s="26"/>
      <c r="U8" s="26">
        <v>0</v>
      </c>
      <c r="V8" s="26"/>
      <c r="W8" s="26">
        <v>0</v>
      </c>
      <c r="X8" s="26"/>
      <c r="Y8" s="26">
        <v>0</v>
      </c>
      <c r="Z8" s="26"/>
      <c r="AA8" s="26">
        <v>0</v>
      </c>
      <c r="AB8" s="26"/>
      <c r="AC8" s="26">
        <v>0</v>
      </c>
      <c r="AD8" s="26"/>
      <c r="AE8" s="26">
        <v>0</v>
      </c>
      <c r="AF8" s="26">
        <f>5.04232*1000</f>
        <v>5042.32</v>
      </c>
      <c r="AG8" s="26">
        <v>0</v>
      </c>
      <c r="AH8" s="26">
        <f>6.164575*1000</f>
        <v>6164.5749999999998</v>
      </c>
      <c r="AI8" s="26">
        <f>2.383050048*1000</f>
        <v>2383.0500480000001</v>
      </c>
      <c r="AJ8" s="26">
        <f>0.008055*1000</f>
        <v>8.0549999999999997</v>
      </c>
      <c r="AK8" s="26">
        <v>0</v>
      </c>
      <c r="AL8" s="26">
        <f>13.493225*1000</f>
        <v>13493.225</v>
      </c>
      <c r="AM8" s="26">
        <v>0</v>
      </c>
      <c r="AN8" s="26">
        <f>21.56822*1000</f>
        <v>21568.22</v>
      </c>
      <c r="AO8" s="26">
        <v>0</v>
      </c>
      <c r="AP8" s="26"/>
      <c r="AQ8" s="26">
        <v>0</v>
      </c>
      <c r="AR8" s="26"/>
      <c r="AS8" s="26">
        <v>0</v>
      </c>
      <c r="AT8" s="26"/>
      <c r="AU8" s="26">
        <v>0</v>
      </c>
      <c r="AV8" s="26"/>
      <c r="AW8" s="26">
        <v>0</v>
      </c>
      <c r="AX8" s="26"/>
      <c r="AY8" s="26">
        <v>0</v>
      </c>
      <c r="AZ8" s="26"/>
      <c r="BA8" s="26">
        <v>0</v>
      </c>
      <c r="BB8" s="9" t="s">
        <v>49</v>
      </c>
    </row>
    <row r="9" spans="2:54" hidden="1" x14ac:dyDescent="0.25">
      <c r="B9" s="10"/>
      <c r="C9" s="4"/>
      <c r="D9" s="4"/>
      <c r="E9" s="17" t="s">
        <v>56</v>
      </c>
      <c r="F9" s="19">
        <f>0.375329*1000</f>
        <v>375.32900000000001</v>
      </c>
      <c r="G9" s="26">
        <v>0</v>
      </c>
      <c r="H9" s="9">
        <f>0.7322*1000</f>
        <v>732.19999999999993</v>
      </c>
      <c r="I9" s="9">
        <v>0</v>
      </c>
      <c r="J9" s="9">
        <f>1.66126*1000</f>
        <v>1661.26</v>
      </c>
      <c r="K9" s="9">
        <v>0</v>
      </c>
      <c r="L9" s="9">
        <f>0.990781*1000</f>
        <v>990.78100000000006</v>
      </c>
      <c r="M9" s="26">
        <v>0</v>
      </c>
      <c r="N9" s="26"/>
      <c r="O9" s="26">
        <v>0</v>
      </c>
      <c r="P9" s="9">
        <f>2.0608*1000</f>
        <v>2060.8000000000002</v>
      </c>
      <c r="Q9" s="26">
        <v>0</v>
      </c>
      <c r="R9" s="26"/>
      <c r="S9" s="26">
        <v>0</v>
      </c>
      <c r="T9" s="26"/>
      <c r="U9" s="26">
        <v>0</v>
      </c>
      <c r="V9" s="26"/>
      <c r="W9" s="26">
        <v>0</v>
      </c>
      <c r="X9" s="26"/>
      <c r="Y9" s="26">
        <v>0</v>
      </c>
      <c r="Z9" s="26"/>
      <c r="AA9" s="26">
        <v>0</v>
      </c>
      <c r="AB9" s="26"/>
      <c r="AC9" s="26">
        <v>0</v>
      </c>
      <c r="AD9" s="26"/>
      <c r="AE9" s="26">
        <v>0</v>
      </c>
      <c r="AF9" s="26">
        <f>1.381624*1000</f>
        <v>1381.624</v>
      </c>
      <c r="AG9" s="26">
        <v>0</v>
      </c>
      <c r="AH9" s="26">
        <f>1.6891234*1000</f>
        <v>1689.1233999999999</v>
      </c>
      <c r="AI9" s="26">
        <f>0.652955691*1000</f>
        <v>652.955691</v>
      </c>
      <c r="AJ9" s="26">
        <f>0.002207*1000</f>
        <v>2.2070000000000003</v>
      </c>
      <c r="AK9" s="26">
        <v>0</v>
      </c>
      <c r="AL9" s="26">
        <f>3.697116*1000</f>
        <v>3697.116</v>
      </c>
      <c r="AM9" s="26">
        <v>0</v>
      </c>
      <c r="AN9" s="26">
        <f>5.9097367*1000</f>
        <v>5909.7366999999995</v>
      </c>
      <c r="AO9" s="26">
        <v>0</v>
      </c>
      <c r="AP9" s="26">
        <f>0.013*1000</f>
        <v>13</v>
      </c>
      <c r="AQ9" s="26">
        <v>0</v>
      </c>
      <c r="AR9" s="26">
        <f>1.17027*1000</f>
        <v>1170.27</v>
      </c>
      <c r="AS9" s="26">
        <v>0</v>
      </c>
      <c r="AT9" s="26">
        <f>0.052*1000</f>
        <v>52</v>
      </c>
      <c r="AU9" s="26">
        <v>0</v>
      </c>
      <c r="AV9" s="26">
        <f>0.013*1000</f>
        <v>13</v>
      </c>
      <c r="AW9" s="26">
        <v>0</v>
      </c>
      <c r="AX9" s="26"/>
      <c r="AY9" s="26">
        <v>0</v>
      </c>
      <c r="AZ9" s="26"/>
      <c r="BA9" s="26">
        <v>0</v>
      </c>
      <c r="BB9" s="9" t="s">
        <v>49</v>
      </c>
    </row>
    <row r="10" spans="2:54" ht="16.5" hidden="1" customHeight="1" x14ac:dyDescent="0.25">
      <c r="B10" s="10"/>
      <c r="C10" s="4"/>
      <c r="D10" s="4"/>
      <c r="E10" s="17" t="s">
        <v>57</v>
      </c>
      <c r="F10" s="19">
        <f>0.19634*1000</f>
        <v>196.33999999999997</v>
      </c>
      <c r="G10" s="26">
        <v>0</v>
      </c>
      <c r="H10" s="9">
        <f>0.38302*1000</f>
        <v>383.02000000000004</v>
      </c>
      <c r="I10" s="9">
        <v>0</v>
      </c>
      <c r="J10" s="9">
        <f>0.86903*1000</f>
        <v>869.03</v>
      </c>
      <c r="K10" s="9">
        <v>0</v>
      </c>
      <c r="L10" s="9">
        <f>0.518292*1000</f>
        <v>518.29200000000003</v>
      </c>
      <c r="M10" s="26">
        <v>0</v>
      </c>
      <c r="N10" s="26"/>
      <c r="O10" s="26">
        <v>0</v>
      </c>
      <c r="P10" s="9">
        <f>1.078*1000</f>
        <v>1078</v>
      </c>
      <c r="Q10" s="26">
        <v>0</v>
      </c>
      <c r="R10" s="26"/>
      <c r="S10" s="26">
        <v>0</v>
      </c>
      <c r="T10" s="26"/>
      <c r="U10" s="26">
        <v>0</v>
      </c>
      <c r="V10" s="26"/>
      <c r="W10" s="26">
        <v>0</v>
      </c>
      <c r="X10" s="26"/>
      <c r="Y10" s="26">
        <v>0</v>
      </c>
      <c r="Z10" s="26"/>
      <c r="AA10" s="26">
        <v>0</v>
      </c>
      <c r="AB10" s="26">
        <f>0.00002*1000</f>
        <v>0.02</v>
      </c>
      <c r="AC10" s="26">
        <v>0</v>
      </c>
      <c r="AD10" s="26"/>
      <c r="AE10" s="26">
        <v>0</v>
      </c>
      <c r="AF10" s="26">
        <f>0.722745*1000</f>
        <v>722.745</v>
      </c>
      <c r="AG10" s="26">
        <v>0</v>
      </c>
      <c r="AH10" s="26">
        <f>0.8836053*1000</f>
        <v>883.60530000000006</v>
      </c>
      <c r="AI10" s="26">
        <f>0.341570523*1000</f>
        <v>341.57052300000004</v>
      </c>
      <c r="AJ10" s="26">
        <f>0.0011536*1000</f>
        <v>1.1536</v>
      </c>
      <c r="AK10" s="26">
        <v>0</v>
      </c>
      <c r="AL10" s="26">
        <f>1.934054*1000</f>
        <v>1934.0539999999999</v>
      </c>
      <c r="AM10" s="26">
        <v>0</v>
      </c>
      <c r="AN10" s="26">
        <f>3.0914942*1000</f>
        <v>3091.4942000000001</v>
      </c>
      <c r="AO10" s="26">
        <v>0</v>
      </c>
      <c r="AP10" s="26"/>
      <c r="AQ10" s="26">
        <v>0</v>
      </c>
      <c r="AR10" s="26"/>
      <c r="AS10" s="26">
        <v>0</v>
      </c>
      <c r="AT10" s="26"/>
      <c r="AU10" s="26">
        <v>0</v>
      </c>
      <c r="AV10" s="26"/>
      <c r="AW10" s="26">
        <v>0</v>
      </c>
      <c r="AX10" s="26"/>
      <c r="AY10" s="26">
        <v>0</v>
      </c>
      <c r="AZ10" s="26"/>
      <c r="BA10" s="26">
        <v>0</v>
      </c>
      <c r="BB10" s="9" t="s">
        <v>49</v>
      </c>
    </row>
    <row r="11" spans="2:54" ht="33.75" hidden="1" customHeight="1" x14ac:dyDescent="0.25">
      <c r="B11" s="31"/>
      <c r="C11" s="4"/>
      <c r="D11" s="4"/>
      <c r="E11" s="17" t="s">
        <v>95</v>
      </c>
      <c r="F11" s="19"/>
      <c r="G11" s="26">
        <v>0</v>
      </c>
      <c r="H11" s="9"/>
      <c r="I11" s="9">
        <v>0</v>
      </c>
      <c r="J11" s="9"/>
      <c r="K11" s="9">
        <v>0</v>
      </c>
      <c r="L11" s="9"/>
      <c r="M11" s="26">
        <v>0</v>
      </c>
      <c r="N11" s="26"/>
      <c r="O11" s="26">
        <v>0</v>
      </c>
      <c r="P11" s="9"/>
      <c r="Q11" s="26">
        <v>0</v>
      </c>
      <c r="R11" s="26"/>
      <c r="S11" s="26">
        <v>0</v>
      </c>
      <c r="T11" s="26"/>
      <c r="U11" s="26">
        <v>0</v>
      </c>
      <c r="V11" s="26"/>
      <c r="W11" s="26">
        <v>0</v>
      </c>
      <c r="X11" s="26"/>
      <c r="Y11" s="26">
        <v>0</v>
      </c>
      <c r="Z11" s="26"/>
      <c r="AA11" s="26">
        <v>0</v>
      </c>
      <c r="AB11" s="26"/>
      <c r="AC11" s="26">
        <v>0</v>
      </c>
      <c r="AD11" s="26"/>
      <c r="AE11" s="26">
        <v>0</v>
      </c>
      <c r="AF11" s="26"/>
      <c r="AG11" s="26">
        <v>0</v>
      </c>
      <c r="AH11" s="26"/>
      <c r="AI11" s="26">
        <v>0</v>
      </c>
      <c r="AJ11" s="26"/>
      <c r="AK11" s="26">
        <v>0</v>
      </c>
      <c r="AL11" s="26"/>
      <c r="AM11" s="26">
        <v>0</v>
      </c>
      <c r="AN11" s="26"/>
      <c r="AO11" s="26">
        <v>0</v>
      </c>
      <c r="AP11" s="26">
        <f>0.00115*1000</f>
        <v>1.1499999999999999</v>
      </c>
      <c r="AQ11" s="26">
        <v>0</v>
      </c>
      <c r="AR11" s="26"/>
      <c r="AS11" s="26">
        <v>0</v>
      </c>
      <c r="AT11" s="26">
        <f>0.0046*1000</f>
        <v>4.5999999999999996</v>
      </c>
      <c r="AU11" s="26">
        <v>0</v>
      </c>
      <c r="AV11" s="26">
        <f>0.00115*1000</f>
        <v>1.1499999999999999</v>
      </c>
      <c r="AW11" s="26">
        <v>0</v>
      </c>
      <c r="AX11" s="26"/>
      <c r="AY11" s="26">
        <v>0</v>
      </c>
      <c r="AZ11" s="26"/>
      <c r="BA11" s="26">
        <v>0</v>
      </c>
      <c r="BB11" s="9" t="s">
        <v>49</v>
      </c>
    </row>
    <row r="12" spans="2:54" x14ac:dyDescent="0.25">
      <c r="B12" s="10"/>
      <c r="C12" s="9" t="s">
        <v>117</v>
      </c>
      <c r="D12" s="9">
        <v>2</v>
      </c>
      <c r="E12" s="17" t="s">
        <v>58</v>
      </c>
      <c r="F12" s="19">
        <f>0.091321*1000</f>
        <v>91.320999999999998</v>
      </c>
      <c r="G12" s="26">
        <v>0</v>
      </c>
      <c r="H12" s="9">
        <f>0.17815*1000</f>
        <v>178.15</v>
      </c>
      <c r="I12" s="9">
        <v>0</v>
      </c>
      <c r="J12" s="9">
        <f>0.4042*1000</f>
        <v>404.2</v>
      </c>
      <c r="K12" s="9">
        <v>0</v>
      </c>
      <c r="L12" s="9">
        <f>0.241066*1000</f>
        <v>241.066</v>
      </c>
      <c r="M12" s="26">
        <v>0</v>
      </c>
      <c r="N12" s="26"/>
      <c r="O12" s="26">
        <v>0</v>
      </c>
      <c r="P12" s="9">
        <f>0.5014*1000</f>
        <v>501.4</v>
      </c>
      <c r="Q12" s="26">
        <v>0</v>
      </c>
      <c r="R12" s="26"/>
      <c r="S12" s="26">
        <v>0</v>
      </c>
      <c r="T12" s="26"/>
      <c r="U12" s="26">
        <v>0</v>
      </c>
      <c r="V12" s="26"/>
      <c r="W12" s="26">
        <v>0</v>
      </c>
      <c r="X12" s="26"/>
      <c r="Y12" s="26">
        <v>0</v>
      </c>
      <c r="Z12" s="26"/>
      <c r="AA12" s="26">
        <v>0</v>
      </c>
      <c r="AB12" s="26"/>
      <c r="AC12" s="26">
        <v>0</v>
      </c>
      <c r="AD12" s="26"/>
      <c r="AE12" s="26">
        <v>0</v>
      </c>
      <c r="AF12" s="26">
        <f>0.336228*1000</f>
        <v>336.22800000000001</v>
      </c>
      <c r="AG12" s="26">
        <v>0</v>
      </c>
      <c r="AH12" s="26">
        <f>0.410993*1000</f>
        <v>410.99299999999999</v>
      </c>
      <c r="AI12" s="26">
        <f>0.15886999*1000</f>
        <v>158.86999</v>
      </c>
      <c r="AJ12" s="26">
        <f>0.000537*1000</f>
        <v>0.53700000000000003</v>
      </c>
      <c r="AK12" s="26">
        <v>0</v>
      </c>
      <c r="AL12" s="26">
        <f>0.899533*1000</f>
        <v>899.53300000000002</v>
      </c>
      <c r="AM12" s="26">
        <v>0</v>
      </c>
      <c r="AN12" s="26">
        <f>1.437888*1000</f>
        <v>1437.8880000000001</v>
      </c>
      <c r="AO12" s="26">
        <v>0</v>
      </c>
      <c r="AP12" s="26"/>
      <c r="AQ12" s="26">
        <v>0</v>
      </c>
      <c r="AR12" s="26">
        <f>0.85034*1000</f>
        <v>850.34</v>
      </c>
      <c r="AS12" s="26">
        <v>0</v>
      </c>
      <c r="AT12" s="26"/>
      <c r="AU12" s="26">
        <v>0</v>
      </c>
      <c r="AV12" s="26"/>
      <c r="AW12" s="26">
        <v>0</v>
      </c>
      <c r="AX12" s="26"/>
      <c r="AY12" s="26">
        <v>0</v>
      </c>
      <c r="AZ12" s="26"/>
      <c r="BA12" s="26">
        <v>0</v>
      </c>
      <c r="BB12" s="9" t="s">
        <v>49</v>
      </c>
    </row>
    <row r="13" spans="2:54" x14ac:dyDescent="0.25">
      <c r="B13" s="22"/>
      <c r="C13" s="9"/>
      <c r="D13" s="9"/>
      <c r="E13" s="17" t="s">
        <v>59</v>
      </c>
      <c r="F13" s="19">
        <f>0.001461*1000</f>
        <v>1.4610000000000001</v>
      </c>
      <c r="G13" s="26">
        <v>0</v>
      </c>
      <c r="H13" s="9">
        <f>0.00285*1000</f>
        <v>2.85</v>
      </c>
      <c r="I13" s="9">
        <v>0</v>
      </c>
      <c r="J13" s="9">
        <f>0.00647*1000</f>
        <v>6.47</v>
      </c>
      <c r="K13" s="9">
        <v>0</v>
      </c>
      <c r="L13" s="9">
        <f>0.003857*1000</f>
        <v>3.8570000000000002</v>
      </c>
      <c r="M13" s="26">
        <v>0</v>
      </c>
      <c r="N13" s="26"/>
      <c r="O13" s="26">
        <v>0</v>
      </c>
      <c r="P13" s="9">
        <f>0.008*1000</f>
        <v>8</v>
      </c>
      <c r="Q13" s="26">
        <v>0</v>
      </c>
      <c r="R13" s="26"/>
      <c r="S13" s="26">
        <v>0</v>
      </c>
      <c r="T13" s="26"/>
      <c r="U13" s="26">
        <v>0</v>
      </c>
      <c r="V13" s="26">
        <f>2.1749*1000</f>
        <v>2174.9</v>
      </c>
      <c r="W13" s="26">
        <v>0</v>
      </c>
      <c r="X13" s="26"/>
      <c r="Y13" s="26">
        <v>0</v>
      </c>
      <c r="Z13" s="26"/>
      <c r="AA13" s="26">
        <v>0</v>
      </c>
      <c r="AB13" s="26"/>
      <c r="AC13" s="26">
        <v>0</v>
      </c>
      <c r="AD13" s="26"/>
      <c r="AE13" s="26">
        <v>0</v>
      </c>
      <c r="AF13" s="26">
        <f>0.005411*1000</f>
        <v>5.4109999999999996</v>
      </c>
      <c r="AG13" s="26">
        <v>0</v>
      </c>
      <c r="AH13" s="26">
        <f>0.0066495*1000</f>
        <v>6.6494999999999997</v>
      </c>
      <c r="AI13" s="26">
        <f>0.002541905*1000</f>
        <v>2.5419050000000003</v>
      </c>
      <c r="AJ13" s="26">
        <f>0.000009*1000</f>
        <v>9.0000000000000011E-3</v>
      </c>
      <c r="AK13" s="26">
        <v>0</v>
      </c>
      <c r="AL13" s="26">
        <f>0.014368*1000</f>
        <v>14.368</v>
      </c>
      <c r="AM13" s="26">
        <v>0</v>
      </c>
      <c r="AN13" s="26">
        <f>0.0230094*1000</f>
        <v>23.009399999999999</v>
      </c>
      <c r="AO13" s="26">
        <v>0</v>
      </c>
      <c r="AP13" s="26"/>
      <c r="AQ13" s="26">
        <v>0</v>
      </c>
      <c r="AR13" s="26">
        <f>0.00758*1000</f>
        <v>7.58</v>
      </c>
      <c r="AS13" s="26">
        <v>0</v>
      </c>
      <c r="AT13" s="26"/>
      <c r="AU13" s="26">
        <v>0</v>
      </c>
      <c r="AV13" s="26"/>
      <c r="AW13" s="26">
        <v>0</v>
      </c>
      <c r="AX13" s="26"/>
      <c r="AY13" s="26">
        <v>0</v>
      </c>
      <c r="AZ13" s="26"/>
      <c r="BA13" s="26">
        <v>0</v>
      </c>
      <c r="BB13" s="9" t="s">
        <v>49</v>
      </c>
    </row>
    <row r="14" spans="2:54" x14ac:dyDescent="0.25">
      <c r="B14" s="32"/>
      <c r="C14" s="9" t="s">
        <v>128</v>
      </c>
      <c r="D14" s="9">
        <v>2</v>
      </c>
      <c r="E14" s="17" t="s">
        <v>96</v>
      </c>
      <c r="F14" s="19"/>
      <c r="G14" s="26">
        <v>0</v>
      </c>
      <c r="H14" s="9"/>
      <c r="I14" s="9">
        <v>0</v>
      </c>
      <c r="J14" s="9"/>
      <c r="K14" s="9">
        <v>0</v>
      </c>
      <c r="L14" s="9"/>
      <c r="M14" s="26">
        <v>0</v>
      </c>
      <c r="N14" s="26"/>
      <c r="O14" s="26">
        <v>0</v>
      </c>
      <c r="P14" s="9"/>
      <c r="Q14" s="26">
        <v>0</v>
      </c>
      <c r="R14" s="26"/>
      <c r="S14" s="26">
        <v>0</v>
      </c>
      <c r="T14" s="26"/>
      <c r="U14" s="26">
        <v>0</v>
      </c>
      <c r="V14" s="26"/>
      <c r="W14" s="26">
        <v>0</v>
      </c>
      <c r="X14" s="26"/>
      <c r="Y14" s="26">
        <v>0</v>
      </c>
      <c r="Z14" s="26"/>
      <c r="AA14" s="26">
        <v>0</v>
      </c>
      <c r="AB14" s="26"/>
      <c r="AC14" s="26">
        <v>0</v>
      </c>
      <c r="AD14" s="26"/>
      <c r="AE14" s="26">
        <v>0</v>
      </c>
      <c r="AF14" s="26"/>
      <c r="AG14" s="26">
        <v>0</v>
      </c>
      <c r="AH14" s="26"/>
      <c r="AI14" s="26">
        <v>0</v>
      </c>
      <c r="AJ14" s="26"/>
      <c r="AK14" s="26">
        <v>0</v>
      </c>
      <c r="AL14" s="26"/>
      <c r="AM14" s="26">
        <v>0</v>
      </c>
      <c r="AN14" s="26"/>
      <c r="AO14" s="26">
        <v>0</v>
      </c>
      <c r="AP14" s="26">
        <f>0.000025*1000</f>
        <v>2.5000000000000001E-2</v>
      </c>
      <c r="AQ14" s="26">
        <v>0</v>
      </c>
      <c r="AR14" s="26"/>
      <c r="AS14" s="26">
        <v>0</v>
      </c>
      <c r="AT14" s="26">
        <f>0.0001*1000</f>
        <v>0.1</v>
      </c>
      <c r="AU14" s="26">
        <v>0</v>
      </c>
      <c r="AV14" s="26">
        <f>0.000025*1000</f>
        <v>2.5000000000000001E-2</v>
      </c>
      <c r="AW14" s="26">
        <v>0</v>
      </c>
      <c r="AX14" s="26"/>
      <c r="AY14" s="26">
        <v>0</v>
      </c>
      <c r="AZ14" s="26"/>
      <c r="BA14" s="26">
        <v>0</v>
      </c>
      <c r="BB14" s="9" t="s">
        <v>49</v>
      </c>
    </row>
    <row r="15" spans="2:54" x14ac:dyDescent="0.25">
      <c r="B15" s="10"/>
      <c r="C15" s="24" t="s">
        <v>129</v>
      </c>
      <c r="D15" s="9">
        <v>2</v>
      </c>
      <c r="E15" s="17" t="s">
        <v>60</v>
      </c>
      <c r="F15" s="9">
        <f>0.003927*1000</f>
        <v>3.927</v>
      </c>
      <c r="G15" s="26">
        <v>0</v>
      </c>
      <c r="H15" s="9">
        <f>0.00766*1000</f>
        <v>7.66</v>
      </c>
      <c r="I15" s="9">
        <v>0</v>
      </c>
      <c r="J15" s="9">
        <f>0.01738*1000</f>
        <v>17.38</v>
      </c>
      <c r="K15" s="9">
        <v>0</v>
      </c>
      <c r="L15" s="9">
        <f>0.010366*1000</f>
        <v>10.366</v>
      </c>
      <c r="M15" s="26">
        <v>0</v>
      </c>
      <c r="N15" s="26"/>
      <c r="O15" s="26">
        <v>0</v>
      </c>
      <c r="P15" s="9">
        <f>0.0216*1000</f>
        <v>21.6</v>
      </c>
      <c r="Q15" s="26">
        <v>0</v>
      </c>
      <c r="R15" s="26"/>
      <c r="S15" s="26">
        <v>0</v>
      </c>
      <c r="T15" s="26"/>
      <c r="U15" s="26">
        <v>0</v>
      </c>
      <c r="V15" s="26"/>
      <c r="W15" s="26">
        <v>0</v>
      </c>
      <c r="X15" s="26"/>
      <c r="Y15" s="26">
        <v>0</v>
      </c>
      <c r="Z15" s="26"/>
      <c r="AA15" s="26">
        <v>0</v>
      </c>
      <c r="AB15" s="26"/>
      <c r="AC15" s="26">
        <v>0</v>
      </c>
      <c r="AD15" s="26"/>
      <c r="AE15" s="26">
        <v>0</v>
      </c>
      <c r="AF15" s="26">
        <f>0.014373*1000</f>
        <v>14.373000000000001</v>
      </c>
      <c r="AG15" s="26">
        <v>0</v>
      </c>
      <c r="AH15" s="26">
        <f>0.0176061*1000</f>
        <v>17.606099999999998</v>
      </c>
      <c r="AI15" s="26">
        <f>0.00683146*1000</f>
        <v>6.8314599999999999</v>
      </c>
      <c r="AJ15" s="26">
        <f>0.0000228*1000</f>
        <v>2.2799999999999997E-2</v>
      </c>
      <c r="AK15" s="26">
        <v>0</v>
      </c>
      <c r="AL15" s="26">
        <f>0.038668*1000</f>
        <v>38.667999999999999</v>
      </c>
      <c r="AM15" s="26">
        <v>0</v>
      </c>
      <c r="AN15" s="26">
        <f>0.0617853*1000</f>
        <v>61.785299999999999</v>
      </c>
      <c r="AO15" s="26">
        <v>0</v>
      </c>
      <c r="AP15" s="26"/>
      <c r="AQ15" s="26">
        <v>0</v>
      </c>
      <c r="AR15" s="26">
        <f>0.03157*1000</f>
        <v>31.57</v>
      </c>
      <c r="AS15" s="26">
        <v>0</v>
      </c>
      <c r="AT15" s="26"/>
      <c r="AU15" s="26">
        <v>0</v>
      </c>
      <c r="AV15" s="26"/>
      <c r="AW15" s="26">
        <v>0</v>
      </c>
      <c r="AX15" s="26"/>
      <c r="AY15" s="26">
        <v>0</v>
      </c>
      <c r="AZ15" s="26"/>
      <c r="BA15" s="26">
        <v>0</v>
      </c>
      <c r="BB15" s="9" t="s">
        <v>49</v>
      </c>
    </row>
    <row r="16" spans="2:54" ht="30" hidden="1" x14ac:dyDescent="0.25">
      <c r="B16" s="9"/>
      <c r="C16" s="9"/>
      <c r="D16" s="9"/>
      <c r="E16" s="17" t="s">
        <v>61</v>
      </c>
      <c r="F16" s="9"/>
      <c r="G16" s="26">
        <v>0</v>
      </c>
      <c r="H16" s="9"/>
      <c r="I16" s="9">
        <v>0</v>
      </c>
      <c r="J16" s="9"/>
      <c r="K16" s="9">
        <v>0</v>
      </c>
      <c r="L16" s="9"/>
      <c r="M16" s="26">
        <v>0</v>
      </c>
      <c r="N16" s="26"/>
      <c r="O16" s="26">
        <v>0</v>
      </c>
      <c r="P16" s="9"/>
      <c r="Q16" s="26">
        <v>0</v>
      </c>
      <c r="R16" s="26"/>
      <c r="S16" s="26">
        <v>0</v>
      </c>
      <c r="T16" s="26">
        <f>0.0175*1000</f>
        <v>17.5</v>
      </c>
      <c r="U16" s="26">
        <v>0</v>
      </c>
      <c r="V16" s="26"/>
      <c r="W16" s="26">
        <v>0</v>
      </c>
      <c r="X16" s="26"/>
      <c r="Y16" s="26">
        <v>0</v>
      </c>
      <c r="Z16" s="26"/>
      <c r="AA16" s="26">
        <v>0</v>
      </c>
      <c r="AB16" s="26"/>
      <c r="AC16" s="26">
        <v>0</v>
      </c>
      <c r="AD16" s="26"/>
      <c r="AE16" s="26">
        <v>0</v>
      </c>
      <c r="AF16" s="26"/>
      <c r="AG16" s="26">
        <v>0</v>
      </c>
      <c r="AH16" s="26"/>
      <c r="AI16" s="26">
        <v>0</v>
      </c>
      <c r="AJ16" s="26"/>
      <c r="AK16" s="26">
        <v>0</v>
      </c>
      <c r="AL16" s="26"/>
      <c r="AM16" s="26">
        <v>0</v>
      </c>
      <c r="AN16" s="26"/>
      <c r="AO16" s="26">
        <v>0</v>
      </c>
      <c r="AP16" s="26"/>
      <c r="AQ16" s="26">
        <v>0</v>
      </c>
      <c r="AR16" s="26"/>
      <c r="AS16" s="26">
        <v>0</v>
      </c>
      <c r="AT16" s="26"/>
      <c r="AU16" s="26">
        <v>0</v>
      </c>
      <c r="AV16" s="26"/>
      <c r="AW16" s="26">
        <v>0</v>
      </c>
      <c r="AX16" s="26"/>
      <c r="AY16" s="26">
        <v>0</v>
      </c>
      <c r="AZ16" s="26"/>
      <c r="BA16" s="26">
        <v>0</v>
      </c>
      <c r="BB16" s="9" t="s">
        <v>49</v>
      </c>
    </row>
    <row r="17" spans="2:54" x14ac:dyDescent="0.25">
      <c r="B17" s="9"/>
      <c r="C17" s="9" t="s">
        <v>137</v>
      </c>
      <c r="D17" s="9">
        <v>1</v>
      </c>
      <c r="E17" s="17" t="s">
        <v>51</v>
      </c>
      <c r="F17" s="9"/>
      <c r="G17" s="26">
        <v>0</v>
      </c>
      <c r="H17" s="9"/>
      <c r="I17" s="9">
        <v>0</v>
      </c>
      <c r="J17" s="9"/>
      <c r="K17" s="9">
        <v>0</v>
      </c>
      <c r="L17" s="9"/>
      <c r="M17" s="26">
        <v>0</v>
      </c>
      <c r="N17" s="26"/>
      <c r="O17" s="26">
        <v>0</v>
      </c>
      <c r="P17" s="9"/>
      <c r="Q17" s="26">
        <v>0</v>
      </c>
      <c r="R17" s="26"/>
      <c r="S17" s="26">
        <v>0</v>
      </c>
      <c r="T17" s="26"/>
      <c r="U17" s="26">
        <v>0</v>
      </c>
      <c r="V17" s="26"/>
      <c r="W17" s="26">
        <v>0</v>
      </c>
      <c r="X17" s="26"/>
      <c r="Y17" s="26">
        <v>0</v>
      </c>
      <c r="Z17" s="26">
        <f>1.655*1000</f>
        <v>1655</v>
      </c>
      <c r="AA17" s="26">
        <v>0</v>
      </c>
      <c r="AB17" s="26"/>
      <c r="AC17" s="26">
        <v>0</v>
      </c>
      <c r="AD17" s="26"/>
      <c r="AE17" s="26">
        <v>0</v>
      </c>
      <c r="AF17" s="26"/>
      <c r="AG17" s="26">
        <v>0</v>
      </c>
      <c r="AH17" s="26"/>
      <c r="AI17" s="26">
        <v>0</v>
      </c>
      <c r="AJ17" s="26"/>
      <c r="AK17" s="26">
        <v>0</v>
      </c>
      <c r="AL17" s="26"/>
      <c r="AM17" s="26">
        <v>0</v>
      </c>
      <c r="AN17" s="26"/>
      <c r="AO17" s="26">
        <v>0</v>
      </c>
      <c r="AP17" s="26">
        <f>0.0023*1000</f>
        <v>2.2999999999999998</v>
      </c>
      <c r="AQ17" s="26">
        <v>0</v>
      </c>
      <c r="AR17" s="26"/>
      <c r="AS17" s="26">
        <v>0</v>
      </c>
      <c r="AT17" s="26">
        <f>0.0092*1000</f>
        <v>9.1999999999999993</v>
      </c>
      <c r="AU17" s="26">
        <v>0</v>
      </c>
      <c r="AV17" s="26">
        <f>0.0023*1000</f>
        <v>2.2999999999999998</v>
      </c>
      <c r="AW17" s="26">
        <v>0</v>
      </c>
      <c r="AX17" s="26"/>
      <c r="AY17" s="26">
        <v>0</v>
      </c>
      <c r="AZ17" s="26"/>
      <c r="BA17" s="26">
        <v>0</v>
      </c>
      <c r="BB17" s="9" t="s">
        <v>49</v>
      </c>
    </row>
    <row r="18" spans="2:54" x14ac:dyDescent="0.25">
      <c r="B18" s="9"/>
      <c r="C18" s="9"/>
      <c r="D18" s="9">
        <v>1</v>
      </c>
      <c r="E18" s="17" t="s">
        <v>62</v>
      </c>
      <c r="F18" s="9"/>
      <c r="G18" s="26">
        <v>0</v>
      </c>
      <c r="H18" s="9"/>
      <c r="I18" s="9">
        <v>0</v>
      </c>
      <c r="J18" s="9"/>
      <c r="K18" s="9">
        <v>0</v>
      </c>
      <c r="L18" s="9"/>
      <c r="M18" s="26">
        <v>0</v>
      </c>
      <c r="N18" s="26"/>
      <c r="O18" s="26">
        <v>0</v>
      </c>
      <c r="P18" s="9"/>
      <c r="Q18" s="26">
        <v>0</v>
      </c>
      <c r="R18" s="26"/>
      <c r="S18" s="26">
        <v>0</v>
      </c>
      <c r="T18" s="26"/>
      <c r="U18" s="26">
        <v>0</v>
      </c>
      <c r="V18" s="26"/>
      <c r="W18" s="26">
        <v>0</v>
      </c>
      <c r="X18" s="26"/>
      <c r="Y18" s="26">
        <v>0</v>
      </c>
      <c r="Z18" s="26"/>
      <c r="AA18" s="26">
        <v>0</v>
      </c>
      <c r="AB18" s="26">
        <f>0.00005*1000</f>
        <v>0.05</v>
      </c>
      <c r="AC18" s="26">
        <v>0</v>
      </c>
      <c r="AD18" s="26"/>
      <c r="AE18" s="26">
        <v>0</v>
      </c>
      <c r="AF18" s="26"/>
      <c r="AG18" s="26">
        <v>0</v>
      </c>
      <c r="AH18" s="26"/>
      <c r="AI18" s="26">
        <v>0</v>
      </c>
      <c r="AJ18" s="26"/>
      <c r="AK18" s="26">
        <v>0</v>
      </c>
      <c r="AL18" s="26"/>
      <c r="AM18" s="26">
        <v>0</v>
      </c>
      <c r="AN18" s="26"/>
      <c r="AO18" s="26">
        <v>0</v>
      </c>
      <c r="AP18" s="26"/>
      <c r="AQ18" s="26">
        <v>0</v>
      </c>
      <c r="AR18" s="26"/>
      <c r="AS18" s="26">
        <v>0</v>
      </c>
      <c r="AT18" s="26"/>
      <c r="AU18" s="26">
        <v>0</v>
      </c>
      <c r="AV18" s="26"/>
      <c r="AW18" s="26">
        <v>0</v>
      </c>
      <c r="AX18" s="26"/>
      <c r="AY18" s="26">
        <v>0</v>
      </c>
      <c r="AZ18" s="26"/>
      <c r="BA18" s="26">
        <v>0</v>
      </c>
      <c r="BB18" s="9" t="s">
        <v>49</v>
      </c>
    </row>
    <row r="19" spans="2:54" x14ac:dyDescent="0.25">
      <c r="B19" s="9"/>
      <c r="C19" s="9" t="s">
        <v>116</v>
      </c>
      <c r="D19" s="9">
        <v>1</v>
      </c>
      <c r="E19" s="17" t="s">
        <v>63</v>
      </c>
      <c r="F19" s="9"/>
      <c r="G19" s="26">
        <v>0</v>
      </c>
      <c r="H19" s="9"/>
      <c r="I19" s="9">
        <v>0</v>
      </c>
      <c r="J19" s="9"/>
      <c r="K19" s="9">
        <v>0</v>
      </c>
      <c r="L19" s="9"/>
      <c r="M19" s="26">
        <v>0</v>
      </c>
      <c r="N19" s="26"/>
      <c r="O19" s="26">
        <v>0</v>
      </c>
      <c r="P19" s="9"/>
      <c r="Q19" s="26">
        <v>0</v>
      </c>
      <c r="R19" s="26"/>
      <c r="S19" s="26">
        <v>0</v>
      </c>
      <c r="T19" s="26"/>
      <c r="U19" s="26">
        <v>0</v>
      </c>
      <c r="V19" s="26">
        <f>1.0426*1000</f>
        <v>1042.5999999999999</v>
      </c>
      <c r="W19" s="26">
        <v>0</v>
      </c>
      <c r="X19" s="26"/>
      <c r="Y19" s="26">
        <v>0</v>
      </c>
      <c r="Z19" s="26"/>
      <c r="AA19" s="26">
        <v>0</v>
      </c>
      <c r="AB19" s="26"/>
      <c r="AC19" s="26">
        <v>0</v>
      </c>
      <c r="AD19" s="26"/>
      <c r="AE19" s="26">
        <v>0</v>
      </c>
      <c r="AF19" s="26"/>
      <c r="AG19" s="26">
        <v>0</v>
      </c>
      <c r="AH19" s="26"/>
      <c r="AI19" s="26">
        <v>0</v>
      </c>
      <c r="AJ19" s="26"/>
      <c r="AK19" s="26">
        <v>0</v>
      </c>
      <c r="AL19" s="26"/>
      <c r="AM19" s="26">
        <v>0</v>
      </c>
      <c r="AN19" s="26"/>
      <c r="AO19" s="26">
        <v>0</v>
      </c>
      <c r="AP19" s="26"/>
      <c r="AQ19" s="26">
        <v>0</v>
      </c>
      <c r="AR19" s="26"/>
      <c r="AS19" s="26">
        <v>0</v>
      </c>
      <c r="AT19" s="26"/>
      <c r="AU19" s="26">
        <v>0</v>
      </c>
      <c r="AV19" s="26"/>
      <c r="AW19" s="26">
        <v>0</v>
      </c>
      <c r="AX19" s="26"/>
      <c r="AY19" s="26">
        <v>0</v>
      </c>
      <c r="AZ19" s="26"/>
      <c r="BA19" s="26">
        <v>0</v>
      </c>
      <c r="BB19" s="9" t="s">
        <v>49</v>
      </c>
    </row>
    <row r="20" spans="2:54" x14ac:dyDescent="0.25">
      <c r="B20" s="9"/>
      <c r="C20" s="9"/>
      <c r="D20" s="9">
        <v>1</v>
      </c>
      <c r="E20" s="18" t="s">
        <v>52</v>
      </c>
      <c r="F20" s="9"/>
      <c r="G20" s="26">
        <v>0</v>
      </c>
      <c r="H20" s="9"/>
      <c r="I20" s="9">
        <v>0</v>
      </c>
      <c r="J20" s="9"/>
      <c r="K20" s="9">
        <v>0</v>
      </c>
      <c r="L20" s="9"/>
      <c r="M20" s="26">
        <v>0</v>
      </c>
      <c r="N20" s="26"/>
      <c r="O20" s="26">
        <v>0</v>
      </c>
      <c r="P20" s="9"/>
      <c r="Q20" s="26">
        <v>0</v>
      </c>
      <c r="R20" s="26"/>
      <c r="S20" s="26">
        <v>0</v>
      </c>
      <c r="T20" s="26"/>
      <c r="U20" s="26">
        <v>0</v>
      </c>
      <c r="V20" s="26">
        <f>0.2638*1000</f>
        <v>263.79999999999995</v>
      </c>
      <c r="W20" s="26">
        <v>0</v>
      </c>
      <c r="X20" s="26"/>
      <c r="Y20" s="26">
        <v>0</v>
      </c>
      <c r="Z20" s="26">
        <f>0.2694*1000</f>
        <v>269.39999999999998</v>
      </c>
      <c r="AA20" s="26">
        <v>0</v>
      </c>
      <c r="AB20" s="26"/>
      <c r="AC20" s="26">
        <v>0</v>
      </c>
      <c r="AD20" s="26"/>
      <c r="AE20" s="26">
        <v>0</v>
      </c>
      <c r="AF20" s="26"/>
      <c r="AG20" s="26">
        <v>0</v>
      </c>
      <c r="AH20" s="26"/>
      <c r="AI20" s="26">
        <v>0</v>
      </c>
      <c r="AJ20" s="26"/>
      <c r="AK20" s="26">
        <v>0</v>
      </c>
      <c r="AL20" s="26"/>
      <c r="AM20" s="26">
        <v>0</v>
      </c>
      <c r="AN20" s="26"/>
      <c r="AO20" s="26">
        <v>0</v>
      </c>
      <c r="AP20" s="26"/>
      <c r="AQ20" s="26">
        <v>0</v>
      </c>
      <c r="AR20" s="26"/>
      <c r="AS20" s="26">
        <v>0</v>
      </c>
      <c r="AT20" s="26"/>
      <c r="AU20" s="26">
        <v>0</v>
      </c>
      <c r="AV20" s="26"/>
      <c r="AW20" s="26">
        <v>0</v>
      </c>
      <c r="AX20" s="26"/>
      <c r="AY20" s="26">
        <v>0</v>
      </c>
      <c r="AZ20" s="26"/>
      <c r="BA20" s="26">
        <v>0</v>
      </c>
      <c r="BB20" s="9" t="s">
        <v>49</v>
      </c>
    </row>
    <row r="21" spans="2:54" hidden="1" x14ac:dyDescent="0.25">
      <c r="B21" s="9"/>
      <c r="C21" s="9"/>
      <c r="D21" s="9"/>
      <c r="E21" s="18" t="s">
        <v>64</v>
      </c>
      <c r="F21" s="9"/>
      <c r="G21" s="26">
        <v>0</v>
      </c>
      <c r="H21" s="9"/>
      <c r="I21" s="9">
        <v>0</v>
      </c>
      <c r="J21" s="9"/>
      <c r="K21" s="9">
        <v>0</v>
      </c>
      <c r="L21" s="9"/>
      <c r="M21" s="26">
        <v>0</v>
      </c>
      <c r="N21" s="26"/>
      <c r="O21" s="26">
        <v>0</v>
      </c>
      <c r="P21" s="9"/>
      <c r="Q21" s="26">
        <v>0</v>
      </c>
      <c r="R21" s="26"/>
      <c r="S21" s="26">
        <v>0</v>
      </c>
      <c r="T21" s="26"/>
      <c r="U21" s="26">
        <v>0</v>
      </c>
      <c r="V21" s="26">
        <f>0.33*1000</f>
        <v>330</v>
      </c>
      <c r="W21" s="26">
        <v>0</v>
      </c>
      <c r="X21" s="26"/>
      <c r="Y21" s="26">
        <v>0</v>
      </c>
      <c r="Z21" s="26"/>
      <c r="AA21" s="26">
        <v>0</v>
      </c>
      <c r="AB21" s="26"/>
      <c r="AC21" s="26">
        <v>0</v>
      </c>
      <c r="AD21" s="26"/>
      <c r="AE21" s="26">
        <v>0</v>
      </c>
      <c r="AF21" s="26"/>
      <c r="AG21" s="26">
        <v>0</v>
      </c>
      <c r="AH21" s="26"/>
      <c r="AI21" s="26">
        <v>0</v>
      </c>
      <c r="AJ21" s="26"/>
      <c r="AK21" s="26">
        <v>0</v>
      </c>
      <c r="AL21" s="26"/>
      <c r="AM21" s="26">
        <v>0</v>
      </c>
      <c r="AN21" s="26"/>
      <c r="AO21" s="26">
        <v>0</v>
      </c>
      <c r="AP21" s="26"/>
      <c r="AQ21" s="26">
        <v>0</v>
      </c>
      <c r="AR21" s="26"/>
      <c r="AS21" s="26">
        <v>0</v>
      </c>
      <c r="AT21" s="26"/>
      <c r="AU21" s="26">
        <v>0</v>
      </c>
      <c r="AV21" s="26"/>
      <c r="AW21" s="26">
        <v>0</v>
      </c>
      <c r="AX21" s="26"/>
      <c r="AY21" s="26">
        <v>0</v>
      </c>
      <c r="AZ21" s="26"/>
      <c r="BA21" s="26">
        <v>0</v>
      </c>
      <c r="BB21" s="9" t="s">
        <v>49</v>
      </c>
    </row>
    <row r="22" spans="2:54" hidden="1" x14ac:dyDescent="0.25">
      <c r="B22" s="9"/>
      <c r="C22" s="9"/>
      <c r="D22" s="9"/>
      <c r="E22" s="18" t="s">
        <v>65</v>
      </c>
      <c r="F22" s="9"/>
      <c r="G22" s="26">
        <v>0</v>
      </c>
      <c r="H22" s="9"/>
      <c r="I22" s="9">
        <v>0</v>
      </c>
      <c r="J22" s="9"/>
      <c r="K22" s="9">
        <v>0</v>
      </c>
      <c r="L22" s="9"/>
      <c r="M22" s="26">
        <v>0</v>
      </c>
      <c r="N22" s="26"/>
      <c r="O22" s="26">
        <v>0</v>
      </c>
      <c r="P22" s="9"/>
      <c r="Q22" s="26">
        <v>0</v>
      </c>
      <c r="R22" s="26"/>
      <c r="S22" s="26">
        <v>0</v>
      </c>
      <c r="T22" s="26"/>
      <c r="U22" s="26">
        <v>0</v>
      </c>
      <c r="V22" s="26">
        <f>0.0695*1000</f>
        <v>69.5</v>
      </c>
      <c r="W22" s="26">
        <v>0</v>
      </c>
      <c r="X22" s="26"/>
      <c r="Y22" s="26">
        <v>0</v>
      </c>
      <c r="Z22" s="26"/>
      <c r="AA22" s="26">
        <v>0</v>
      </c>
      <c r="AB22" s="26"/>
      <c r="AC22" s="26">
        <v>0</v>
      </c>
      <c r="AD22" s="26"/>
      <c r="AE22" s="26">
        <v>0</v>
      </c>
      <c r="AF22" s="26"/>
      <c r="AG22" s="26">
        <v>0</v>
      </c>
      <c r="AH22" s="26"/>
      <c r="AI22" s="26">
        <v>0</v>
      </c>
      <c r="AJ22" s="26"/>
      <c r="AK22" s="26">
        <v>0</v>
      </c>
      <c r="AL22" s="26"/>
      <c r="AM22" s="26">
        <v>0</v>
      </c>
      <c r="AN22" s="26"/>
      <c r="AO22" s="26">
        <v>0</v>
      </c>
      <c r="AP22" s="26"/>
      <c r="AQ22" s="26">
        <v>0</v>
      </c>
      <c r="AR22" s="26"/>
      <c r="AS22" s="26">
        <v>0</v>
      </c>
      <c r="AT22" s="26"/>
      <c r="AU22" s="26">
        <v>0</v>
      </c>
      <c r="AV22" s="26"/>
      <c r="AW22" s="26">
        <v>0</v>
      </c>
      <c r="AX22" s="26"/>
      <c r="AY22" s="26">
        <v>0</v>
      </c>
      <c r="AZ22" s="26"/>
      <c r="BA22" s="26">
        <v>0</v>
      </c>
      <c r="BB22" s="9" t="s">
        <v>49</v>
      </c>
    </row>
    <row r="23" spans="2:54" x14ac:dyDescent="0.25">
      <c r="B23" s="9"/>
      <c r="C23" s="9" t="s">
        <v>130</v>
      </c>
      <c r="D23" s="9">
        <v>2</v>
      </c>
      <c r="E23" s="18" t="s">
        <v>66</v>
      </c>
      <c r="F23" s="9"/>
      <c r="G23" s="26">
        <v>0</v>
      </c>
      <c r="H23" s="9"/>
      <c r="I23" s="9">
        <v>0</v>
      </c>
      <c r="J23" s="9"/>
      <c r="K23" s="9">
        <v>0</v>
      </c>
      <c r="L23" s="9"/>
      <c r="M23" s="26">
        <v>0</v>
      </c>
      <c r="N23" s="26"/>
      <c r="O23" s="26">
        <v>0</v>
      </c>
      <c r="P23" s="9"/>
      <c r="Q23" s="26">
        <v>0</v>
      </c>
      <c r="R23" s="26"/>
      <c r="S23" s="26">
        <v>0</v>
      </c>
      <c r="T23" s="26"/>
      <c r="U23" s="26">
        <v>0</v>
      </c>
      <c r="V23" s="26">
        <f>1.7408*1000</f>
        <v>1740.8</v>
      </c>
      <c r="W23" s="26">
        <v>0</v>
      </c>
      <c r="X23" s="26"/>
      <c r="Y23" s="26">
        <v>0</v>
      </c>
      <c r="Z23" s="26"/>
      <c r="AA23" s="26">
        <v>0</v>
      </c>
      <c r="AB23" s="26"/>
      <c r="AC23" s="26">
        <v>0</v>
      </c>
      <c r="AD23" s="26"/>
      <c r="AE23" s="26">
        <v>0</v>
      </c>
      <c r="AF23" s="26"/>
      <c r="AG23" s="26">
        <v>0</v>
      </c>
      <c r="AH23" s="26"/>
      <c r="AI23" s="26">
        <v>0</v>
      </c>
      <c r="AJ23" s="26"/>
      <c r="AK23" s="26">
        <v>0</v>
      </c>
      <c r="AL23" s="26"/>
      <c r="AM23" s="26">
        <v>0</v>
      </c>
      <c r="AN23" s="26"/>
      <c r="AO23" s="26">
        <v>0</v>
      </c>
      <c r="AP23" s="26"/>
      <c r="AQ23" s="26">
        <v>0</v>
      </c>
      <c r="AR23" s="26"/>
      <c r="AS23" s="26">
        <v>0</v>
      </c>
      <c r="AT23" s="26"/>
      <c r="AU23" s="26">
        <v>0</v>
      </c>
      <c r="AV23" s="26"/>
      <c r="AW23" s="26">
        <v>0</v>
      </c>
      <c r="AX23" s="26"/>
      <c r="AY23" s="26">
        <v>0</v>
      </c>
      <c r="AZ23" s="26"/>
      <c r="BA23" s="26">
        <v>0</v>
      </c>
      <c r="BB23" s="9" t="s">
        <v>49</v>
      </c>
    </row>
    <row r="24" spans="2:54" hidden="1" x14ac:dyDescent="0.25">
      <c r="B24" s="9"/>
      <c r="C24" s="9"/>
      <c r="D24" s="9"/>
      <c r="E24" s="18" t="s">
        <v>67</v>
      </c>
      <c r="F24" s="9"/>
      <c r="G24" s="26">
        <v>0</v>
      </c>
      <c r="H24" s="9"/>
      <c r="I24" s="9">
        <v>0</v>
      </c>
      <c r="J24" s="9"/>
      <c r="K24" s="9">
        <v>0</v>
      </c>
      <c r="L24" s="9"/>
      <c r="M24" s="26">
        <v>0</v>
      </c>
      <c r="N24" s="26"/>
      <c r="O24" s="26">
        <v>0</v>
      </c>
      <c r="P24" s="9"/>
      <c r="Q24" s="26">
        <v>0</v>
      </c>
      <c r="R24" s="26"/>
      <c r="S24" s="26">
        <v>0</v>
      </c>
      <c r="T24" s="26"/>
      <c r="U24" s="26">
        <v>0</v>
      </c>
      <c r="V24" s="26"/>
      <c r="W24" s="26">
        <v>0</v>
      </c>
      <c r="X24" s="26"/>
      <c r="Y24" s="26">
        <v>0</v>
      </c>
      <c r="Z24" s="26">
        <f>0.1235*1000</f>
        <v>123.5</v>
      </c>
      <c r="AA24" s="26">
        <v>0</v>
      </c>
      <c r="AB24" s="26"/>
      <c r="AC24" s="26">
        <v>0</v>
      </c>
      <c r="AD24" s="26"/>
      <c r="AE24" s="26">
        <v>0</v>
      </c>
      <c r="AF24" s="26"/>
      <c r="AG24" s="26">
        <v>0</v>
      </c>
      <c r="AH24" s="26"/>
      <c r="AI24" s="26">
        <v>0</v>
      </c>
      <c r="AJ24" s="26"/>
      <c r="AK24" s="26">
        <v>0</v>
      </c>
      <c r="AL24" s="26"/>
      <c r="AM24" s="26">
        <v>0</v>
      </c>
      <c r="AN24" s="26"/>
      <c r="AO24" s="26">
        <v>0</v>
      </c>
      <c r="AP24" s="26"/>
      <c r="AQ24" s="26">
        <v>0</v>
      </c>
      <c r="AR24" s="26"/>
      <c r="AS24" s="26">
        <v>0</v>
      </c>
      <c r="AT24" s="26"/>
      <c r="AU24" s="26">
        <v>0</v>
      </c>
      <c r="AV24" s="26"/>
      <c r="AW24" s="26">
        <v>0</v>
      </c>
      <c r="AX24" s="26"/>
      <c r="AY24" s="26">
        <v>0</v>
      </c>
      <c r="AZ24" s="26"/>
      <c r="BA24" s="26">
        <v>0</v>
      </c>
      <c r="BB24" s="9" t="s">
        <v>49</v>
      </c>
    </row>
    <row r="25" spans="2:54" x14ac:dyDescent="0.25">
      <c r="B25" s="9"/>
      <c r="C25" s="9"/>
      <c r="D25" s="9">
        <v>1</v>
      </c>
      <c r="E25" s="17" t="s">
        <v>53</v>
      </c>
      <c r="F25" s="9"/>
      <c r="G25" s="26">
        <v>0</v>
      </c>
      <c r="H25" s="9"/>
      <c r="I25" s="9">
        <v>0</v>
      </c>
      <c r="J25" s="9"/>
      <c r="K25" s="9">
        <v>0</v>
      </c>
      <c r="L25" s="9"/>
      <c r="M25" s="26">
        <v>0</v>
      </c>
      <c r="N25" s="26"/>
      <c r="O25" s="26">
        <v>0</v>
      </c>
      <c r="P25" s="9"/>
      <c r="Q25" s="26">
        <v>0</v>
      </c>
      <c r="R25" s="26"/>
      <c r="S25" s="26">
        <v>0</v>
      </c>
      <c r="T25" s="26"/>
      <c r="U25" s="26">
        <v>0</v>
      </c>
      <c r="V25" s="26"/>
      <c r="W25" s="26">
        <v>0</v>
      </c>
      <c r="X25" s="26"/>
      <c r="Y25" s="26">
        <v>0</v>
      </c>
      <c r="Z25" s="26">
        <f>2.905*1000</f>
        <v>2905</v>
      </c>
      <c r="AA25" s="26">
        <v>0</v>
      </c>
      <c r="AB25" s="26"/>
      <c r="AC25" s="26">
        <v>0</v>
      </c>
      <c r="AD25" s="26"/>
      <c r="AE25" s="26">
        <v>0</v>
      </c>
      <c r="AF25" s="26"/>
      <c r="AG25" s="26">
        <v>0</v>
      </c>
      <c r="AH25" s="26"/>
      <c r="AI25" s="26">
        <v>0</v>
      </c>
      <c r="AJ25" s="26"/>
      <c r="AK25" s="26">
        <v>0</v>
      </c>
      <c r="AL25" s="26"/>
      <c r="AM25" s="26">
        <v>0</v>
      </c>
      <c r="AN25" s="26"/>
      <c r="AO25" s="26">
        <v>0</v>
      </c>
      <c r="AP25" s="26"/>
      <c r="AQ25" s="26">
        <v>0</v>
      </c>
      <c r="AR25" s="26"/>
      <c r="AS25" s="26">
        <v>0</v>
      </c>
      <c r="AT25" s="26"/>
      <c r="AU25" s="26">
        <v>0</v>
      </c>
      <c r="AV25" s="26"/>
      <c r="AW25" s="26">
        <v>0</v>
      </c>
      <c r="AX25" s="26"/>
      <c r="AY25" s="26">
        <v>0</v>
      </c>
      <c r="AZ25" s="26"/>
      <c r="BA25" s="26">
        <v>0</v>
      </c>
      <c r="BB25" s="9" t="s">
        <v>49</v>
      </c>
    </row>
    <row r="26" spans="2:54" hidden="1" x14ac:dyDescent="0.25">
      <c r="B26" s="9"/>
      <c r="C26" s="9"/>
      <c r="D26" s="9"/>
      <c r="E26" s="17" t="s">
        <v>46</v>
      </c>
      <c r="F26" s="9"/>
      <c r="G26" s="26">
        <v>0</v>
      </c>
      <c r="H26" s="9"/>
      <c r="I26" s="9">
        <v>0</v>
      </c>
      <c r="J26" s="9"/>
      <c r="K26" s="9">
        <v>0</v>
      </c>
      <c r="L26" s="9"/>
      <c r="M26" s="26">
        <v>0</v>
      </c>
      <c r="N26" s="26"/>
      <c r="O26" s="26">
        <v>0</v>
      </c>
      <c r="P26" s="9"/>
      <c r="Q26" s="26">
        <v>0</v>
      </c>
      <c r="R26" s="26"/>
      <c r="S26" s="26">
        <v>0</v>
      </c>
      <c r="T26" s="26"/>
      <c r="U26" s="26">
        <v>0</v>
      </c>
      <c r="V26" s="26"/>
      <c r="W26" s="26">
        <v>0</v>
      </c>
      <c r="X26" s="26">
        <f>0.000014*1000</f>
        <v>1.4E-2</v>
      </c>
      <c r="Y26" s="26">
        <v>0</v>
      </c>
      <c r="Z26" s="26"/>
      <c r="AA26" s="26">
        <v>0</v>
      </c>
      <c r="AB26" s="26"/>
      <c r="AC26" s="26">
        <v>0</v>
      </c>
      <c r="AD26" s="26"/>
      <c r="AE26" s="26">
        <v>0</v>
      </c>
      <c r="AF26" s="26"/>
      <c r="AG26" s="26">
        <v>0</v>
      </c>
      <c r="AH26" s="26"/>
      <c r="AI26" s="26">
        <v>0</v>
      </c>
      <c r="AJ26" s="26"/>
      <c r="AK26" s="26">
        <v>0</v>
      </c>
      <c r="AL26" s="26"/>
      <c r="AM26" s="26">
        <v>0</v>
      </c>
      <c r="AN26" s="26"/>
      <c r="AO26" s="26">
        <v>0</v>
      </c>
      <c r="AP26" s="26"/>
      <c r="AQ26" s="26">
        <v>0</v>
      </c>
      <c r="AR26" s="26"/>
      <c r="AS26" s="26">
        <v>0</v>
      </c>
      <c r="AT26" s="26"/>
      <c r="AU26" s="26">
        <v>0</v>
      </c>
      <c r="AV26" s="26"/>
      <c r="AW26" s="26">
        <v>0</v>
      </c>
      <c r="AX26" s="26"/>
      <c r="AY26" s="26">
        <v>0</v>
      </c>
      <c r="AZ26" s="26"/>
      <c r="BA26" s="26">
        <v>0</v>
      </c>
      <c r="BB26" s="9" t="s">
        <v>49</v>
      </c>
    </row>
    <row r="27" spans="2:54" hidden="1" x14ac:dyDescent="0.25">
      <c r="B27" s="9"/>
      <c r="C27" s="9"/>
      <c r="D27" s="9"/>
      <c r="E27" s="17" t="s">
        <v>81</v>
      </c>
      <c r="F27" s="9"/>
      <c r="G27" s="26">
        <v>0</v>
      </c>
      <c r="H27" s="9"/>
      <c r="I27" s="9">
        <v>0</v>
      </c>
      <c r="J27" s="9"/>
      <c r="K27" s="9">
        <v>0</v>
      </c>
      <c r="L27" s="9"/>
      <c r="M27" s="26">
        <v>0</v>
      </c>
      <c r="N27" s="26">
        <f>40.138*1000</f>
        <v>40138</v>
      </c>
      <c r="O27" s="26">
        <v>0</v>
      </c>
      <c r="P27" s="9"/>
      <c r="Q27" s="26">
        <v>0</v>
      </c>
      <c r="R27" s="26"/>
      <c r="S27" s="26">
        <v>0</v>
      </c>
      <c r="T27" s="26"/>
      <c r="U27" s="26">
        <v>0</v>
      </c>
      <c r="V27" s="26"/>
      <c r="W27" s="26">
        <v>0</v>
      </c>
      <c r="X27" s="26"/>
      <c r="Y27" s="26">
        <v>0</v>
      </c>
      <c r="Z27" s="26"/>
      <c r="AA27" s="26">
        <v>0</v>
      </c>
      <c r="AB27" s="26"/>
      <c r="AC27" s="26">
        <v>0</v>
      </c>
      <c r="AD27" s="26"/>
      <c r="AE27" s="26">
        <v>0</v>
      </c>
      <c r="AF27" s="26"/>
      <c r="AG27" s="26">
        <v>0</v>
      </c>
      <c r="AH27" s="26"/>
      <c r="AI27" s="26">
        <v>0</v>
      </c>
      <c r="AJ27" s="26"/>
      <c r="AK27" s="26">
        <v>0</v>
      </c>
      <c r="AL27" s="26"/>
      <c r="AM27" s="26">
        <v>0</v>
      </c>
      <c r="AN27" s="26"/>
      <c r="AO27" s="26">
        <v>0</v>
      </c>
      <c r="AP27" s="26"/>
      <c r="AQ27" s="26">
        <v>0</v>
      </c>
      <c r="AR27" s="26"/>
      <c r="AS27" s="26">
        <v>0</v>
      </c>
      <c r="AT27" s="26"/>
      <c r="AU27" s="26">
        <v>0</v>
      </c>
      <c r="AV27" s="26"/>
      <c r="AW27" s="26">
        <v>0</v>
      </c>
      <c r="AX27" s="26"/>
      <c r="AY27" s="26">
        <v>0</v>
      </c>
      <c r="AZ27" s="26"/>
      <c r="BA27" s="26">
        <v>0</v>
      </c>
      <c r="BB27" s="9" t="s">
        <v>49</v>
      </c>
    </row>
    <row r="28" spans="2:54" x14ac:dyDescent="0.25">
      <c r="B28" s="9"/>
      <c r="C28" s="9" t="s">
        <v>115</v>
      </c>
      <c r="D28" s="9">
        <v>1</v>
      </c>
      <c r="E28" s="17" t="s">
        <v>47</v>
      </c>
      <c r="F28" s="9"/>
      <c r="G28" s="26">
        <v>0</v>
      </c>
      <c r="H28" s="9"/>
      <c r="I28" s="9">
        <v>0</v>
      </c>
      <c r="J28" s="9"/>
      <c r="K28" s="9">
        <v>0</v>
      </c>
      <c r="L28" s="9"/>
      <c r="M28" s="26">
        <v>0</v>
      </c>
      <c r="N28" s="26"/>
      <c r="O28" s="26">
        <v>0</v>
      </c>
      <c r="P28" s="9"/>
      <c r="Q28" s="26">
        <v>0</v>
      </c>
      <c r="R28" s="26"/>
      <c r="S28" s="26">
        <v>0</v>
      </c>
      <c r="T28" s="26"/>
      <c r="U28" s="26">
        <v>0</v>
      </c>
      <c r="V28" s="26"/>
      <c r="W28" s="26">
        <v>0</v>
      </c>
      <c r="X28" s="26"/>
      <c r="Y28" s="26">
        <v>0</v>
      </c>
      <c r="Z28" s="26">
        <f>6.8634*1000</f>
        <v>6863.4000000000005</v>
      </c>
      <c r="AA28" s="26">
        <v>0</v>
      </c>
      <c r="AB28" s="26"/>
      <c r="AC28" s="26">
        <v>0</v>
      </c>
      <c r="AD28" s="26"/>
      <c r="AE28" s="26">
        <v>0</v>
      </c>
      <c r="AF28" s="26"/>
      <c r="AG28" s="26">
        <v>0</v>
      </c>
      <c r="AH28" s="26"/>
      <c r="AI28" s="26">
        <v>0</v>
      </c>
      <c r="AJ28" s="26"/>
      <c r="AK28" s="26">
        <v>0</v>
      </c>
      <c r="AL28" s="26"/>
      <c r="AM28" s="26">
        <v>0</v>
      </c>
      <c r="AN28" s="26"/>
      <c r="AO28" s="26">
        <v>0</v>
      </c>
      <c r="AP28" s="26">
        <f>0.0117*1000</f>
        <v>11.700000000000001</v>
      </c>
      <c r="AQ28" s="26">
        <v>0</v>
      </c>
      <c r="AR28" s="26"/>
      <c r="AS28" s="26">
        <v>0</v>
      </c>
      <c r="AT28" s="26">
        <f>0.0468*1000</f>
        <v>46.800000000000004</v>
      </c>
      <c r="AU28" s="26">
        <v>0</v>
      </c>
      <c r="AV28" s="26">
        <f>0.0117*1000</f>
        <v>11.700000000000001</v>
      </c>
      <c r="AW28" s="26">
        <v>0</v>
      </c>
      <c r="AX28" s="26"/>
      <c r="AY28" s="26">
        <v>0</v>
      </c>
      <c r="AZ28" s="26"/>
      <c r="BA28" s="26">
        <v>0</v>
      </c>
      <c r="BB28" s="9" t="s">
        <v>49</v>
      </c>
    </row>
    <row r="29" spans="2:54" hidden="1" x14ac:dyDescent="0.25">
      <c r="B29" s="9"/>
      <c r="C29" s="9"/>
      <c r="D29" s="9"/>
      <c r="E29" s="17" t="s">
        <v>68</v>
      </c>
      <c r="F29" s="9"/>
      <c r="G29" s="26">
        <v>0</v>
      </c>
      <c r="H29" s="9"/>
      <c r="I29" s="9">
        <v>0</v>
      </c>
      <c r="J29" s="9"/>
      <c r="K29" s="9">
        <v>0</v>
      </c>
      <c r="L29" s="9"/>
      <c r="M29" s="26">
        <v>0</v>
      </c>
      <c r="N29" s="26">
        <f>2.5979*1000</f>
        <v>2597.9</v>
      </c>
      <c r="O29" s="26">
        <v>0</v>
      </c>
      <c r="P29" s="9"/>
      <c r="Q29" s="26">
        <v>0</v>
      </c>
      <c r="R29" s="26"/>
      <c r="S29" s="26">
        <v>0</v>
      </c>
      <c r="T29" s="26"/>
      <c r="U29" s="26">
        <v>0</v>
      </c>
      <c r="V29" s="26"/>
      <c r="W29" s="26">
        <v>0</v>
      </c>
      <c r="X29" s="26"/>
      <c r="Y29" s="26">
        <v>0</v>
      </c>
      <c r="Z29" s="26"/>
      <c r="AA29" s="26">
        <v>0</v>
      </c>
      <c r="AB29" s="26"/>
      <c r="AC29" s="26">
        <v>0</v>
      </c>
      <c r="AD29" s="26"/>
      <c r="AE29" s="26">
        <v>0</v>
      </c>
      <c r="AF29" s="26"/>
      <c r="AG29" s="26">
        <v>0</v>
      </c>
      <c r="AH29" s="26"/>
      <c r="AI29" s="26">
        <v>0</v>
      </c>
      <c r="AJ29" s="26"/>
      <c r="AK29" s="26">
        <v>0</v>
      </c>
      <c r="AL29" s="26"/>
      <c r="AM29" s="26">
        <v>0</v>
      </c>
      <c r="AN29" s="26"/>
      <c r="AO29" s="26">
        <v>0</v>
      </c>
      <c r="AP29" s="26"/>
      <c r="AQ29" s="26">
        <v>0</v>
      </c>
      <c r="AR29" s="26"/>
      <c r="AS29" s="26">
        <v>0</v>
      </c>
      <c r="AT29" s="26"/>
      <c r="AU29" s="26">
        <v>0</v>
      </c>
      <c r="AV29" s="26"/>
      <c r="AW29" s="26">
        <v>0</v>
      </c>
      <c r="AX29" s="26"/>
      <c r="AY29" s="26">
        <v>0</v>
      </c>
      <c r="AZ29" s="26">
        <f>0.8603*1000</f>
        <v>860.3</v>
      </c>
      <c r="BA29" s="26">
        <v>0</v>
      </c>
      <c r="BB29" s="9" t="s">
        <v>49</v>
      </c>
    </row>
    <row r="30" spans="2:54" ht="30" hidden="1" x14ac:dyDescent="0.25">
      <c r="B30" s="9"/>
      <c r="C30" s="9"/>
      <c r="D30" s="9"/>
      <c r="E30" s="17" t="s">
        <v>69</v>
      </c>
      <c r="F30" s="9"/>
      <c r="G30" s="26">
        <v>0</v>
      </c>
      <c r="H30" s="9"/>
      <c r="I30" s="9">
        <v>0</v>
      </c>
      <c r="J30" s="9"/>
      <c r="K30" s="9">
        <v>0</v>
      </c>
      <c r="L30" s="9"/>
      <c r="M30" s="26">
        <v>0</v>
      </c>
      <c r="N30" s="26"/>
      <c r="O30" s="26">
        <v>0</v>
      </c>
      <c r="P30" s="9"/>
      <c r="Q30" s="26">
        <v>0</v>
      </c>
      <c r="R30" s="26">
        <f>7.2*1000</f>
        <v>7200</v>
      </c>
      <c r="S30" s="26">
        <v>0</v>
      </c>
      <c r="T30" s="26"/>
      <c r="U30" s="26">
        <v>0</v>
      </c>
      <c r="V30" s="26"/>
      <c r="W30" s="26">
        <v>0</v>
      </c>
      <c r="X30" s="26"/>
      <c r="Y30" s="26">
        <v>0</v>
      </c>
      <c r="Z30" s="26"/>
      <c r="AA30" s="26">
        <v>0</v>
      </c>
      <c r="AB30" s="26">
        <f>0.0000001*1000</f>
        <v>9.9999999999999991E-5</v>
      </c>
      <c r="AC30" s="26">
        <v>0</v>
      </c>
      <c r="AD30" s="26">
        <f>1.6031*1000</f>
        <v>1603.1</v>
      </c>
      <c r="AE30" s="26">
        <v>0</v>
      </c>
      <c r="AF30" s="26"/>
      <c r="AG30" s="26">
        <v>0</v>
      </c>
      <c r="AH30" s="26"/>
      <c r="AI30" s="26">
        <v>0</v>
      </c>
      <c r="AJ30" s="26"/>
      <c r="AK30" s="26">
        <v>0</v>
      </c>
      <c r="AL30" s="26"/>
      <c r="AM30" s="26">
        <v>0</v>
      </c>
      <c r="AN30" s="26"/>
      <c r="AO30" s="26">
        <v>0</v>
      </c>
      <c r="AP30" s="26"/>
      <c r="AQ30" s="26">
        <v>0</v>
      </c>
      <c r="AR30" s="26"/>
      <c r="AS30" s="26">
        <v>0</v>
      </c>
      <c r="AT30" s="26"/>
      <c r="AU30" s="26">
        <v>0</v>
      </c>
      <c r="AV30" s="26"/>
      <c r="AW30" s="26">
        <v>0</v>
      </c>
      <c r="AX30" s="26"/>
      <c r="AY30" s="26">
        <v>0</v>
      </c>
      <c r="AZ30" s="26"/>
      <c r="BA30" s="26">
        <v>0</v>
      </c>
      <c r="BB30" s="9" t="s">
        <v>49</v>
      </c>
    </row>
    <row r="31" spans="2:54" ht="31.5" hidden="1" customHeight="1" x14ac:dyDescent="0.25">
      <c r="B31" s="9"/>
      <c r="C31" s="9"/>
      <c r="D31" s="9"/>
      <c r="E31" s="17" t="s">
        <v>70</v>
      </c>
      <c r="F31" s="9"/>
      <c r="G31" s="26">
        <v>0</v>
      </c>
      <c r="H31" s="9"/>
      <c r="I31" s="9">
        <v>0</v>
      </c>
      <c r="J31" s="9"/>
      <c r="K31" s="9">
        <v>0</v>
      </c>
      <c r="L31" s="9"/>
      <c r="M31" s="26">
        <v>0</v>
      </c>
      <c r="N31" s="26"/>
      <c r="O31" s="26">
        <v>0</v>
      </c>
      <c r="P31" s="9"/>
      <c r="Q31" s="26">
        <v>0</v>
      </c>
      <c r="R31" s="26"/>
      <c r="S31" s="26">
        <v>0</v>
      </c>
      <c r="T31" s="26"/>
      <c r="U31" s="26">
        <v>0</v>
      </c>
      <c r="V31" s="26"/>
      <c r="W31" s="26">
        <v>0</v>
      </c>
      <c r="X31" s="26"/>
      <c r="Y31" s="26">
        <v>0</v>
      </c>
      <c r="Z31" s="26"/>
      <c r="AA31" s="26">
        <v>0</v>
      </c>
      <c r="AB31" s="26">
        <f>0.00000004*1000</f>
        <v>4.0000000000000003E-5</v>
      </c>
      <c r="AC31" s="26">
        <v>0</v>
      </c>
      <c r="AD31" s="26"/>
      <c r="AE31" s="26">
        <v>0</v>
      </c>
      <c r="AF31" s="26"/>
      <c r="AG31" s="26">
        <v>0</v>
      </c>
      <c r="AH31" s="26"/>
      <c r="AI31" s="26">
        <v>0</v>
      </c>
      <c r="AJ31" s="26"/>
      <c r="AK31" s="26">
        <v>0</v>
      </c>
      <c r="AL31" s="26"/>
      <c r="AM31" s="26">
        <v>0</v>
      </c>
      <c r="AN31" s="26"/>
      <c r="AO31" s="26">
        <v>0</v>
      </c>
      <c r="AP31" s="26"/>
      <c r="AQ31" s="26">
        <v>0</v>
      </c>
      <c r="AR31" s="26"/>
      <c r="AS31" s="26">
        <v>0</v>
      </c>
      <c r="AT31" s="26"/>
      <c r="AU31" s="26">
        <v>0</v>
      </c>
      <c r="AV31" s="26"/>
      <c r="AW31" s="26">
        <v>0</v>
      </c>
      <c r="AX31" s="26"/>
      <c r="AY31" s="26">
        <v>0</v>
      </c>
      <c r="AZ31" s="26"/>
      <c r="BA31" s="26">
        <v>0</v>
      </c>
      <c r="BB31" s="9" t="s">
        <v>49</v>
      </c>
    </row>
    <row r="32" spans="2:54" ht="23.25" hidden="1" customHeight="1" x14ac:dyDescent="0.25">
      <c r="B32" s="9"/>
      <c r="C32" s="9"/>
      <c r="D32" s="9"/>
      <c r="E32" s="17" t="s">
        <v>71</v>
      </c>
      <c r="F32" s="9"/>
      <c r="G32" s="26">
        <v>0</v>
      </c>
      <c r="H32" s="9"/>
      <c r="I32" s="9">
        <v>0</v>
      </c>
      <c r="J32" s="9"/>
      <c r="K32" s="9">
        <v>0</v>
      </c>
      <c r="L32" s="9"/>
      <c r="M32" s="26">
        <v>0</v>
      </c>
      <c r="N32" s="26"/>
      <c r="O32" s="26">
        <v>0</v>
      </c>
      <c r="P32" s="9"/>
      <c r="Q32" s="26">
        <v>0</v>
      </c>
      <c r="R32" s="26"/>
      <c r="S32" s="26">
        <v>0</v>
      </c>
      <c r="T32" s="26"/>
      <c r="U32" s="26">
        <v>0</v>
      </c>
      <c r="V32" s="26"/>
      <c r="W32" s="26">
        <v>0</v>
      </c>
      <c r="X32" s="26"/>
      <c r="Y32" s="26">
        <v>0</v>
      </c>
      <c r="Z32" s="26"/>
      <c r="AA32" s="26">
        <v>0</v>
      </c>
      <c r="AB32" s="26"/>
      <c r="AC32" s="26">
        <v>0</v>
      </c>
      <c r="AD32" s="26">
        <f>1.6031*1000</f>
        <v>1603.1</v>
      </c>
      <c r="AE32" s="26">
        <v>0</v>
      </c>
      <c r="AF32" s="26"/>
      <c r="AG32" s="26">
        <v>0</v>
      </c>
      <c r="AH32" s="26"/>
      <c r="AI32" s="26">
        <v>0</v>
      </c>
      <c r="AJ32" s="26"/>
      <c r="AK32" s="26">
        <v>0</v>
      </c>
      <c r="AL32" s="26"/>
      <c r="AM32" s="26">
        <v>0</v>
      </c>
      <c r="AN32" s="26"/>
      <c r="AO32" s="26">
        <v>0</v>
      </c>
      <c r="AP32" s="26"/>
      <c r="AQ32" s="26">
        <v>0</v>
      </c>
      <c r="AR32" s="26"/>
      <c r="AS32" s="26">
        <v>0</v>
      </c>
      <c r="AT32" s="26"/>
      <c r="AU32" s="26">
        <v>0</v>
      </c>
      <c r="AV32" s="26"/>
      <c r="AW32" s="26">
        <v>0</v>
      </c>
      <c r="AX32" s="26"/>
      <c r="AY32" s="26">
        <v>0</v>
      </c>
      <c r="AZ32" s="26"/>
      <c r="BA32" s="26">
        <v>0</v>
      </c>
      <c r="BB32" s="9" t="s">
        <v>49</v>
      </c>
    </row>
    <row r="33" spans="2:54" ht="30" x14ac:dyDescent="0.25">
      <c r="B33" s="9"/>
      <c r="C33" s="9"/>
      <c r="D33" s="9"/>
      <c r="E33" s="17" t="s">
        <v>72</v>
      </c>
      <c r="F33" s="9"/>
      <c r="G33" s="26">
        <v>0</v>
      </c>
      <c r="H33" s="9"/>
      <c r="I33" s="9">
        <v>0</v>
      </c>
      <c r="J33" s="9"/>
      <c r="K33" s="9">
        <v>0</v>
      </c>
      <c r="L33" s="9"/>
      <c r="M33" s="26">
        <v>0</v>
      </c>
      <c r="N33" s="26"/>
      <c r="O33" s="26">
        <v>0</v>
      </c>
      <c r="P33" s="9"/>
      <c r="Q33" s="26">
        <v>0</v>
      </c>
      <c r="R33" s="26"/>
      <c r="S33" s="26">
        <v>0</v>
      </c>
      <c r="T33" s="26"/>
      <c r="U33" s="26">
        <v>0</v>
      </c>
      <c r="V33" s="26"/>
      <c r="W33" s="26">
        <v>0</v>
      </c>
      <c r="X33" s="26">
        <f>0.0054948*1000</f>
        <v>5.4948000000000006</v>
      </c>
      <c r="Y33" s="26">
        <v>0</v>
      </c>
      <c r="Z33" s="26"/>
      <c r="AA33" s="26">
        <v>0</v>
      </c>
      <c r="AB33" s="26"/>
      <c r="AC33" s="26">
        <v>0</v>
      </c>
      <c r="AD33" s="26"/>
      <c r="AE33" s="26">
        <v>0</v>
      </c>
      <c r="AF33" s="26"/>
      <c r="AG33" s="26">
        <v>0</v>
      </c>
      <c r="AH33" s="26"/>
      <c r="AI33" s="26">
        <v>0</v>
      </c>
      <c r="AJ33" s="26"/>
      <c r="AK33" s="26">
        <v>0</v>
      </c>
      <c r="AL33" s="26"/>
      <c r="AM33" s="26">
        <v>0</v>
      </c>
      <c r="AN33" s="26"/>
      <c r="AO33" s="26">
        <v>0</v>
      </c>
      <c r="AP33" s="26"/>
      <c r="AQ33" s="26">
        <v>0</v>
      </c>
      <c r="AR33" s="26"/>
      <c r="AS33" s="26">
        <v>0</v>
      </c>
      <c r="AT33" s="26"/>
      <c r="AU33" s="26">
        <v>0</v>
      </c>
      <c r="AV33" s="26"/>
      <c r="AW33" s="26">
        <v>0</v>
      </c>
      <c r="AX33" s="26"/>
      <c r="AY33" s="26">
        <v>0</v>
      </c>
      <c r="AZ33" s="26"/>
      <c r="BA33" s="26">
        <v>0</v>
      </c>
      <c r="BB33" s="9" t="s">
        <v>49</v>
      </c>
    </row>
    <row r="34" spans="2:54" ht="30" x14ac:dyDescent="0.25">
      <c r="B34" s="9"/>
      <c r="C34" s="9"/>
      <c r="D34" s="9">
        <v>6</v>
      </c>
      <c r="E34" s="17" t="s">
        <v>73</v>
      </c>
      <c r="F34" s="9"/>
      <c r="G34" s="26">
        <v>0</v>
      </c>
      <c r="H34" s="9"/>
      <c r="I34" s="9">
        <v>0</v>
      </c>
      <c r="J34" s="9"/>
      <c r="K34" s="9">
        <v>0</v>
      </c>
      <c r="L34" s="9"/>
      <c r="M34" s="26">
        <v>0</v>
      </c>
      <c r="N34" s="26"/>
      <c r="O34" s="26">
        <v>0</v>
      </c>
      <c r="P34" s="9"/>
      <c r="Q34" s="26">
        <v>0</v>
      </c>
      <c r="R34" s="26"/>
      <c r="S34" s="26">
        <v>0</v>
      </c>
      <c r="T34" s="26"/>
      <c r="U34" s="26">
        <v>0</v>
      </c>
      <c r="V34" s="26"/>
      <c r="W34" s="26">
        <v>0</v>
      </c>
      <c r="X34" s="26"/>
      <c r="Y34" s="26">
        <v>0</v>
      </c>
      <c r="Z34" s="26"/>
      <c r="AA34" s="26">
        <v>0</v>
      </c>
      <c r="AB34" s="26">
        <f>0.000003*1000</f>
        <v>3.0000000000000001E-3</v>
      </c>
      <c r="AC34" s="26">
        <v>0</v>
      </c>
      <c r="AD34" s="26"/>
      <c r="AE34" s="26">
        <v>0</v>
      </c>
      <c r="AF34" s="26"/>
      <c r="AG34" s="26">
        <v>0</v>
      </c>
      <c r="AH34" s="26"/>
      <c r="AI34" s="26">
        <v>0</v>
      </c>
      <c r="AJ34" s="26"/>
      <c r="AK34" s="26">
        <v>0</v>
      </c>
      <c r="AL34" s="26"/>
      <c r="AM34" s="26">
        <v>0</v>
      </c>
      <c r="AN34" s="26"/>
      <c r="AO34" s="26">
        <v>0</v>
      </c>
      <c r="AP34" s="26"/>
      <c r="AQ34" s="26">
        <v>0</v>
      </c>
      <c r="AR34" s="26"/>
      <c r="AS34" s="26">
        <v>0</v>
      </c>
      <c r="AT34" s="26"/>
      <c r="AU34" s="26">
        <v>0</v>
      </c>
      <c r="AV34" s="26">
        <f>0.027*1000</f>
        <v>27</v>
      </c>
      <c r="AW34" s="26">
        <v>0</v>
      </c>
      <c r="AX34" s="26"/>
      <c r="AY34" s="26">
        <v>0</v>
      </c>
      <c r="AZ34" s="26"/>
      <c r="BA34" s="26">
        <v>0</v>
      </c>
      <c r="BB34" s="9" t="s">
        <v>49</v>
      </c>
    </row>
    <row r="35" spans="2:54" ht="30" hidden="1" x14ac:dyDescent="0.25">
      <c r="B35" s="9"/>
      <c r="C35" s="9"/>
      <c r="D35" s="9"/>
      <c r="E35" s="17" t="s">
        <v>74</v>
      </c>
      <c r="F35" s="9"/>
      <c r="G35" s="26">
        <v>0</v>
      </c>
      <c r="H35" s="9"/>
      <c r="I35" s="9">
        <v>0</v>
      </c>
      <c r="J35" s="9"/>
      <c r="K35" s="9">
        <v>0</v>
      </c>
      <c r="L35" s="9"/>
      <c r="M35" s="26">
        <v>0</v>
      </c>
      <c r="N35" s="26"/>
      <c r="O35" s="26">
        <v>0</v>
      </c>
      <c r="P35" s="9"/>
      <c r="Q35" s="26">
        <v>0</v>
      </c>
      <c r="R35" s="26">
        <f>0.2484*1000</f>
        <v>248.4</v>
      </c>
      <c r="S35" s="26">
        <v>0</v>
      </c>
      <c r="T35" s="26"/>
      <c r="U35" s="26">
        <v>0</v>
      </c>
      <c r="V35" s="26"/>
      <c r="W35" s="26">
        <v>0</v>
      </c>
      <c r="X35" s="26"/>
      <c r="Y35" s="26">
        <v>0</v>
      </c>
      <c r="Z35" s="26"/>
      <c r="AA35" s="26">
        <v>0</v>
      </c>
      <c r="AB35" s="26"/>
      <c r="AC35" s="26">
        <v>0</v>
      </c>
      <c r="AD35" s="26"/>
      <c r="AE35" s="26">
        <v>0</v>
      </c>
      <c r="AF35" s="26"/>
      <c r="AG35" s="26">
        <v>0</v>
      </c>
      <c r="AH35" s="26"/>
      <c r="AI35" s="26">
        <v>0</v>
      </c>
      <c r="AJ35" s="26"/>
      <c r="AK35" s="26">
        <v>0</v>
      </c>
      <c r="AL35" s="26"/>
      <c r="AM35" s="26">
        <v>0</v>
      </c>
      <c r="AN35" s="26"/>
      <c r="AO35" s="26">
        <v>0</v>
      </c>
      <c r="AP35" s="26"/>
      <c r="AQ35" s="26">
        <v>0</v>
      </c>
      <c r="AR35" s="26"/>
      <c r="AS35" s="26">
        <v>0</v>
      </c>
      <c r="AT35" s="26"/>
      <c r="AU35" s="26">
        <v>0</v>
      </c>
      <c r="AV35" s="26" t="s">
        <v>103</v>
      </c>
      <c r="AW35" s="26">
        <v>0</v>
      </c>
      <c r="AX35" s="26"/>
      <c r="AY35" s="26">
        <v>0</v>
      </c>
      <c r="AZ35" s="26"/>
      <c r="BA35" s="26">
        <v>0</v>
      </c>
      <c r="BB35" s="9" t="s">
        <v>49</v>
      </c>
    </row>
    <row r="36" spans="2:54" ht="45" hidden="1" x14ac:dyDescent="0.25">
      <c r="B36" s="9"/>
      <c r="C36" s="9"/>
      <c r="D36" s="9"/>
      <c r="E36" s="4" t="s">
        <v>97</v>
      </c>
      <c r="F36" s="9"/>
      <c r="G36" s="26">
        <v>0</v>
      </c>
      <c r="H36" s="9"/>
      <c r="I36" s="9">
        <v>0</v>
      </c>
      <c r="J36" s="9"/>
      <c r="K36" s="9">
        <v>0</v>
      </c>
      <c r="L36" s="9"/>
      <c r="M36" s="26">
        <v>0</v>
      </c>
      <c r="N36" s="26"/>
      <c r="O36" s="26">
        <v>0</v>
      </c>
      <c r="P36" s="9"/>
      <c r="Q36" s="26">
        <v>0</v>
      </c>
      <c r="R36" s="26"/>
      <c r="S36" s="26">
        <v>0</v>
      </c>
      <c r="T36" s="26"/>
      <c r="U36" s="26">
        <v>0</v>
      </c>
      <c r="V36" s="26"/>
      <c r="W36" s="26">
        <v>0</v>
      </c>
      <c r="X36" s="26"/>
      <c r="Y36" s="26">
        <v>0</v>
      </c>
      <c r="Z36" s="26"/>
      <c r="AA36" s="26">
        <v>0</v>
      </c>
      <c r="AB36" s="26"/>
      <c r="AC36" s="26">
        <v>0</v>
      </c>
      <c r="AD36" s="26"/>
      <c r="AE36" s="26">
        <v>0</v>
      </c>
      <c r="AF36" s="26"/>
      <c r="AG36" s="26">
        <v>0</v>
      </c>
      <c r="AH36" s="26"/>
      <c r="AI36" s="26">
        <v>0</v>
      </c>
      <c r="AJ36" s="26"/>
      <c r="AK36" s="26">
        <v>0</v>
      </c>
      <c r="AL36" s="26"/>
      <c r="AM36" s="26">
        <v>0</v>
      </c>
      <c r="AN36" s="26"/>
      <c r="AO36" s="26">
        <v>0</v>
      </c>
      <c r="AP36" s="26">
        <f>0.00095*1000</f>
        <v>0.95</v>
      </c>
      <c r="AQ36" s="26">
        <v>0</v>
      </c>
      <c r="AR36" s="26"/>
      <c r="AS36" s="26">
        <v>0</v>
      </c>
      <c r="AT36" s="26">
        <f>0.0038*1000</f>
        <v>3.8</v>
      </c>
      <c r="AU36" s="26">
        <v>0</v>
      </c>
      <c r="AV36" s="26">
        <f>0.00095*1000</f>
        <v>0.95</v>
      </c>
      <c r="AW36" s="26">
        <v>0</v>
      </c>
      <c r="AX36" s="26"/>
      <c r="AY36" s="26">
        <v>0</v>
      </c>
      <c r="AZ36" s="26"/>
      <c r="BA36" s="26">
        <v>0</v>
      </c>
      <c r="BB36" s="9" t="s">
        <v>49</v>
      </c>
    </row>
    <row r="37" spans="2:54" x14ac:dyDescent="0.25">
      <c r="B37" s="9"/>
      <c r="C37" s="9"/>
      <c r="D37" s="9">
        <v>6</v>
      </c>
      <c r="E37" s="4" t="s">
        <v>98</v>
      </c>
      <c r="F37" s="9"/>
      <c r="G37" s="26">
        <v>0</v>
      </c>
      <c r="H37" s="9"/>
      <c r="I37" s="9">
        <v>0</v>
      </c>
      <c r="J37" s="9"/>
      <c r="K37" s="9">
        <v>0</v>
      </c>
      <c r="L37" s="9"/>
      <c r="M37" s="26">
        <v>0</v>
      </c>
      <c r="N37" s="26"/>
      <c r="O37" s="26">
        <v>0</v>
      </c>
      <c r="P37" s="9"/>
      <c r="Q37" s="26">
        <v>0</v>
      </c>
      <c r="R37" s="26"/>
      <c r="S37" s="26">
        <v>0</v>
      </c>
      <c r="T37" s="26"/>
      <c r="U37" s="26">
        <v>0</v>
      </c>
      <c r="V37" s="26"/>
      <c r="W37" s="26">
        <v>0</v>
      </c>
      <c r="X37" s="26"/>
      <c r="Y37" s="26">
        <v>0</v>
      </c>
      <c r="Z37" s="26"/>
      <c r="AA37" s="26">
        <v>0</v>
      </c>
      <c r="AB37" s="26"/>
      <c r="AC37" s="26">
        <v>0</v>
      </c>
      <c r="AD37" s="26"/>
      <c r="AE37" s="26">
        <v>0</v>
      </c>
      <c r="AF37" s="26"/>
      <c r="AG37" s="26">
        <v>0</v>
      </c>
      <c r="AH37" s="26"/>
      <c r="AI37" s="26">
        <v>0</v>
      </c>
      <c r="AJ37" s="26"/>
      <c r="AK37" s="26">
        <v>0</v>
      </c>
      <c r="AL37" s="26"/>
      <c r="AM37" s="26">
        <v>0</v>
      </c>
      <c r="AN37" s="26"/>
      <c r="AO37" s="26">
        <v>0</v>
      </c>
      <c r="AP37" s="26">
        <f>0.0011*1000</f>
        <v>1.1000000000000001</v>
      </c>
      <c r="AQ37" s="26">
        <v>0</v>
      </c>
      <c r="AR37" s="26"/>
      <c r="AS37" s="26">
        <v>0</v>
      </c>
      <c r="AT37" s="26">
        <f>0.0044*1000</f>
        <v>4.4000000000000004</v>
      </c>
      <c r="AU37" s="26">
        <v>0</v>
      </c>
      <c r="AV37" s="26">
        <f>0.0011*1000</f>
        <v>1.1000000000000001</v>
      </c>
      <c r="AW37" s="26">
        <v>0</v>
      </c>
      <c r="AX37" s="26"/>
      <c r="AY37" s="26">
        <v>0</v>
      </c>
      <c r="AZ37" s="26"/>
      <c r="BA37" s="26">
        <v>0</v>
      </c>
      <c r="BB37" s="9" t="s">
        <v>49</v>
      </c>
    </row>
    <row r="38" spans="2:54" x14ac:dyDescent="0.25">
      <c r="B38" s="9"/>
      <c r="C38" s="9" t="s">
        <v>131</v>
      </c>
      <c r="D38" s="9">
        <v>5</v>
      </c>
      <c r="E38" s="17" t="s">
        <v>106</v>
      </c>
      <c r="F38" s="9"/>
      <c r="G38" s="26">
        <v>0</v>
      </c>
      <c r="H38" s="9"/>
      <c r="I38" s="9">
        <v>0</v>
      </c>
      <c r="J38" s="9"/>
      <c r="K38" s="9">
        <v>0</v>
      </c>
      <c r="L38" s="9"/>
      <c r="M38" s="26">
        <v>0</v>
      </c>
      <c r="N38" s="26"/>
      <c r="O38" s="26">
        <v>0</v>
      </c>
      <c r="P38" s="9"/>
      <c r="Q38" s="26">
        <v>0</v>
      </c>
      <c r="R38" s="26"/>
      <c r="S38" s="26">
        <v>0</v>
      </c>
      <c r="T38" s="26"/>
      <c r="U38" s="26">
        <v>0</v>
      </c>
      <c r="V38" s="26"/>
      <c r="W38" s="26">
        <v>0</v>
      </c>
      <c r="X38" s="26"/>
      <c r="Y38" s="26">
        <v>0</v>
      </c>
      <c r="Z38" s="26"/>
      <c r="AA38" s="26">
        <v>0</v>
      </c>
      <c r="AB38" s="26"/>
      <c r="AC38" s="26">
        <v>0</v>
      </c>
      <c r="AD38" s="26"/>
      <c r="AE38" s="26">
        <v>0</v>
      </c>
      <c r="AF38" s="26"/>
      <c r="AG38" s="26">
        <v>0</v>
      </c>
      <c r="AH38" s="26"/>
      <c r="AI38" s="26">
        <v>0</v>
      </c>
      <c r="AJ38" s="26"/>
      <c r="AK38" s="26">
        <v>0</v>
      </c>
      <c r="AL38" s="26"/>
      <c r="AM38" s="26">
        <v>0</v>
      </c>
      <c r="AN38" s="26"/>
      <c r="AO38" s="26">
        <v>0</v>
      </c>
      <c r="AP38" s="26"/>
      <c r="AQ38" s="26">
        <v>0</v>
      </c>
      <c r="AR38" s="26"/>
      <c r="AS38" s="26">
        <v>0</v>
      </c>
      <c r="AT38" s="26"/>
      <c r="AU38" s="26">
        <v>0</v>
      </c>
      <c r="AV38" s="26"/>
      <c r="AW38" s="26">
        <v>0</v>
      </c>
      <c r="AX38" s="26"/>
      <c r="AY38" s="26">
        <v>0</v>
      </c>
      <c r="AZ38" s="26">
        <f>0.8803*1000</f>
        <v>880.3</v>
      </c>
      <c r="BA38" s="26">
        <v>0</v>
      </c>
      <c r="BB38" s="9" t="s">
        <v>49</v>
      </c>
    </row>
    <row r="39" spans="2:54" x14ac:dyDescent="0.25">
      <c r="B39" s="9"/>
      <c r="C39" s="9" t="s">
        <v>132</v>
      </c>
      <c r="D39" s="9">
        <v>5</v>
      </c>
      <c r="E39" s="17" t="s">
        <v>107</v>
      </c>
      <c r="F39" s="9"/>
      <c r="G39" s="26">
        <v>0</v>
      </c>
      <c r="H39" s="9"/>
      <c r="I39" s="9">
        <v>0</v>
      </c>
      <c r="J39" s="9"/>
      <c r="K39" s="9">
        <v>0</v>
      </c>
      <c r="L39" s="9"/>
      <c r="M39" s="26">
        <v>0</v>
      </c>
      <c r="N39" s="26"/>
      <c r="O39" s="26">
        <v>0</v>
      </c>
      <c r="P39" s="9"/>
      <c r="Q39" s="26">
        <v>0</v>
      </c>
      <c r="R39" s="26"/>
      <c r="S39" s="26">
        <v>0</v>
      </c>
      <c r="T39" s="26"/>
      <c r="U39" s="26">
        <v>0</v>
      </c>
      <c r="V39" s="26"/>
      <c r="W39" s="26">
        <v>0</v>
      </c>
      <c r="X39" s="26"/>
      <c r="Y39" s="26">
        <v>0</v>
      </c>
      <c r="Z39" s="26"/>
      <c r="AA39" s="26">
        <v>0</v>
      </c>
      <c r="AB39" s="26"/>
      <c r="AC39" s="26">
        <v>0</v>
      </c>
      <c r="AD39" s="26"/>
      <c r="AE39" s="26">
        <v>0</v>
      </c>
      <c r="AF39" s="26"/>
      <c r="AG39" s="26">
        <v>0</v>
      </c>
      <c r="AH39" s="26"/>
      <c r="AI39" s="26">
        <v>0</v>
      </c>
      <c r="AJ39" s="26"/>
      <c r="AK39" s="26">
        <v>0</v>
      </c>
      <c r="AL39" s="26"/>
      <c r="AM39" s="26">
        <v>0</v>
      </c>
      <c r="AN39" s="26"/>
      <c r="AO39" s="26">
        <v>0</v>
      </c>
      <c r="AP39" s="26"/>
      <c r="AQ39" s="26">
        <v>0</v>
      </c>
      <c r="AR39" s="26"/>
      <c r="AS39" s="26">
        <v>0</v>
      </c>
      <c r="AT39" s="26"/>
      <c r="AU39" s="26">
        <v>0</v>
      </c>
      <c r="AV39" s="26"/>
      <c r="AW39" s="26">
        <v>0</v>
      </c>
      <c r="AX39" s="26"/>
      <c r="AY39" s="26">
        <v>0</v>
      </c>
      <c r="AZ39" s="26">
        <f>1.568*1000</f>
        <v>1568</v>
      </c>
      <c r="BA39" s="26">
        <v>0</v>
      </c>
      <c r="BB39" s="9" t="s">
        <v>49</v>
      </c>
    </row>
    <row r="40" spans="2:54" hidden="1" x14ac:dyDescent="0.25">
      <c r="B40" s="9"/>
      <c r="C40" s="9"/>
      <c r="D40" s="9"/>
      <c r="E40" s="17" t="s">
        <v>108</v>
      </c>
      <c r="F40" s="9"/>
      <c r="G40" s="26">
        <v>0</v>
      </c>
      <c r="H40" s="9"/>
      <c r="I40" s="9">
        <v>0</v>
      </c>
      <c r="J40" s="9"/>
      <c r="K40" s="9">
        <v>0</v>
      </c>
      <c r="L40" s="9"/>
      <c r="M40" s="26">
        <v>0</v>
      </c>
      <c r="N40" s="26"/>
      <c r="O40" s="26">
        <v>0</v>
      </c>
      <c r="P40" s="9"/>
      <c r="Q40" s="26">
        <v>0</v>
      </c>
      <c r="R40" s="26"/>
      <c r="S40" s="26">
        <v>0</v>
      </c>
      <c r="T40" s="26"/>
      <c r="U40" s="26">
        <v>0</v>
      </c>
      <c r="V40" s="26"/>
      <c r="W40" s="26">
        <v>0</v>
      </c>
      <c r="X40" s="26"/>
      <c r="Y40" s="26">
        <v>0</v>
      </c>
      <c r="Z40" s="26"/>
      <c r="AA40" s="26">
        <v>0</v>
      </c>
      <c r="AB40" s="26"/>
      <c r="AC40" s="26">
        <v>0</v>
      </c>
      <c r="AD40" s="26"/>
      <c r="AE40" s="26">
        <v>0</v>
      </c>
      <c r="AF40" s="26"/>
      <c r="AG40" s="26">
        <v>0</v>
      </c>
      <c r="AH40" s="26"/>
      <c r="AI40" s="26">
        <v>0</v>
      </c>
      <c r="AJ40" s="26"/>
      <c r="AK40" s="26">
        <v>0</v>
      </c>
      <c r="AL40" s="26"/>
      <c r="AM40" s="26">
        <v>0</v>
      </c>
      <c r="AN40" s="26"/>
      <c r="AO40" s="26">
        <v>0</v>
      </c>
      <c r="AP40" s="26"/>
      <c r="AQ40" s="26">
        <v>0</v>
      </c>
      <c r="AR40" s="26"/>
      <c r="AS40" s="26">
        <v>0</v>
      </c>
      <c r="AT40" s="26"/>
      <c r="AU40" s="26">
        <v>0</v>
      </c>
      <c r="AV40" s="26"/>
      <c r="AW40" s="26">
        <v>0</v>
      </c>
      <c r="AX40" s="26"/>
      <c r="AY40" s="26">
        <v>0</v>
      </c>
      <c r="AZ40" s="26">
        <f>1.8095*1000</f>
        <v>1809.5</v>
      </c>
      <c r="BA40" s="26">
        <v>0</v>
      </c>
      <c r="BB40" s="9" t="s">
        <v>49</v>
      </c>
    </row>
    <row r="41" spans="2:54" hidden="1" x14ac:dyDescent="0.25">
      <c r="B41" s="9"/>
      <c r="C41" s="9"/>
      <c r="D41" s="9"/>
      <c r="E41" s="17" t="s">
        <v>109</v>
      </c>
      <c r="F41" s="9"/>
      <c r="G41" s="26">
        <v>0</v>
      </c>
      <c r="H41" s="9"/>
      <c r="I41" s="9">
        <v>0</v>
      </c>
      <c r="J41" s="9"/>
      <c r="K41" s="9">
        <v>0</v>
      </c>
      <c r="L41" s="9"/>
      <c r="M41" s="26">
        <v>0</v>
      </c>
      <c r="N41" s="26"/>
      <c r="O41" s="26">
        <v>0</v>
      </c>
      <c r="P41" s="9"/>
      <c r="Q41" s="26">
        <v>0</v>
      </c>
      <c r="R41" s="26"/>
      <c r="S41" s="26">
        <v>0</v>
      </c>
      <c r="T41" s="26"/>
      <c r="U41" s="26">
        <v>0</v>
      </c>
      <c r="V41" s="26"/>
      <c r="W41" s="26">
        <v>0</v>
      </c>
      <c r="X41" s="26"/>
      <c r="Y41" s="26">
        <v>0</v>
      </c>
      <c r="Z41" s="26"/>
      <c r="AA41" s="26">
        <v>0</v>
      </c>
      <c r="AB41" s="26"/>
      <c r="AC41" s="26">
        <v>0</v>
      </c>
      <c r="AD41" s="26"/>
      <c r="AE41" s="26">
        <v>0</v>
      </c>
      <c r="AF41" s="26"/>
      <c r="AG41" s="26">
        <v>0</v>
      </c>
      <c r="AH41" s="26"/>
      <c r="AI41" s="26">
        <v>0</v>
      </c>
      <c r="AJ41" s="26"/>
      <c r="AK41" s="26">
        <v>0</v>
      </c>
      <c r="AL41" s="26"/>
      <c r="AM41" s="26">
        <v>0</v>
      </c>
      <c r="AN41" s="26"/>
      <c r="AO41" s="26">
        <v>0</v>
      </c>
      <c r="AP41" s="26"/>
      <c r="AQ41" s="26">
        <v>0</v>
      </c>
      <c r="AR41" s="26"/>
      <c r="AS41" s="26">
        <v>0</v>
      </c>
      <c r="AT41" s="26"/>
      <c r="AU41" s="26">
        <v>0</v>
      </c>
      <c r="AV41" s="26"/>
      <c r="AW41" s="26">
        <v>0</v>
      </c>
      <c r="AX41" s="26"/>
      <c r="AY41" s="26">
        <v>0</v>
      </c>
      <c r="AZ41" s="26">
        <f>0.1388*1000</f>
        <v>138.80000000000001</v>
      </c>
      <c r="BA41" s="26">
        <v>0</v>
      </c>
      <c r="BB41" s="9" t="s">
        <v>49</v>
      </c>
    </row>
    <row r="42" spans="2:54" hidden="1" x14ac:dyDescent="0.25">
      <c r="B42" s="9"/>
      <c r="C42" s="9"/>
      <c r="D42" s="9"/>
      <c r="E42" s="17" t="s">
        <v>110</v>
      </c>
      <c r="F42" s="9"/>
      <c r="G42" s="26">
        <v>0</v>
      </c>
      <c r="H42" s="9"/>
      <c r="I42" s="9">
        <v>0</v>
      </c>
      <c r="J42" s="9"/>
      <c r="K42" s="9">
        <v>0</v>
      </c>
      <c r="L42" s="9"/>
      <c r="M42" s="26">
        <v>0</v>
      </c>
      <c r="N42" s="26"/>
      <c r="O42" s="26">
        <v>0</v>
      </c>
      <c r="P42" s="9"/>
      <c r="Q42" s="26">
        <v>0</v>
      </c>
      <c r="R42" s="26"/>
      <c r="S42" s="26">
        <v>0</v>
      </c>
      <c r="T42" s="26"/>
      <c r="U42" s="26">
        <v>0</v>
      </c>
      <c r="V42" s="26"/>
      <c r="W42" s="26">
        <v>0</v>
      </c>
      <c r="X42" s="26"/>
      <c r="Y42" s="26">
        <v>0</v>
      </c>
      <c r="Z42" s="26"/>
      <c r="AA42" s="26">
        <v>0</v>
      </c>
      <c r="AB42" s="26"/>
      <c r="AC42" s="26">
        <v>0</v>
      </c>
      <c r="AD42" s="26"/>
      <c r="AE42" s="26">
        <v>0</v>
      </c>
      <c r="AF42" s="26"/>
      <c r="AG42" s="26">
        <v>0</v>
      </c>
      <c r="AH42" s="26"/>
      <c r="AI42" s="26">
        <v>0</v>
      </c>
      <c r="AJ42" s="26"/>
      <c r="AK42" s="26">
        <v>0</v>
      </c>
      <c r="AL42" s="26"/>
      <c r="AM42" s="26">
        <v>0</v>
      </c>
      <c r="AN42" s="26"/>
      <c r="AO42" s="26">
        <v>0</v>
      </c>
      <c r="AP42" s="26"/>
      <c r="AQ42" s="26">
        <v>0</v>
      </c>
      <c r="AR42" s="26"/>
      <c r="AS42" s="26">
        <v>0</v>
      </c>
      <c r="AT42" s="26"/>
      <c r="AU42" s="26">
        <v>0</v>
      </c>
      <c r="AV42" s="26"/>
      <c r="AW42" s="26">
        <v>0</v>
      </c>
      <c r="AX42" s="26"/>
      <c r="AY42" s="26">
        <v>0</v>
      </c>
      <c r="AZ42" s="26">
        <f>1.0411*1000</f>
        <v>1041.0999999999999</v>
      </c>
      <c r="BA42" s="26">
        <v>0</v>
      </c>
      <c r="BB42" s="9" t="s">
        <v>49</v>
      </c>
    </row>
    <row r="43" spans="2:54" hidden="1" x14ac:dyDescent="0.25">
      <c r="B43" s="9"/>
      <c r="C43" s="9"/>
      <c r="D43" s="9"/>
      <c r="E43" s="17" t="s">
        <v>111</v>
      </c>
      <c r="F43" s="9"/>
      <c r="G43" s="26">
        <v>0</v>
      </c>
      <c r="H43" s="9"/>
      <c r="I43" s="9">
        <v>0</v>
      </c>
      <c r="J43" s="9"/>
      <c r="K43" s="9">
        <v>0</v>
      </c>
      <c r="L43" s="9"/>
      <c r="M43" s="26">
        <v>0</v>
      </c>
      <c r="N43" s="26"/>
      <c r="O43" s="26">
        <v>0</v>
      </c>
      <c r="P43" s="9"/>
      <c r="Q43" s="26">
        <v>0</v>
      </c>
      <c r="R43" s="26"/>
      <c r="S43" s="26">
        <v>0</v>
      </c>
      <c r="T43" s="26"/>
      <c r="U43" s="26">
        <v>0</v>
      </c>
      <c r="V43" s="26"/>
      <c r="W43" s="26">
        <v>0</v>
      </c>
      <c r="X43" s="26"/>
      <c r="Y43" s="26">
        <v>0</v>
      </c>
      <c r="Z43" s="26"/>
      <c r="AA43" s="26">
        <v>0</v>
      </c>
      <c r="AB43" s="26"/>
      <c r="AC43" s="26">
        <v>0</v>
      </c>
      <c r="AD43" s="26"/>
      <c r="AE43" s="26">
        <v>0</v>
      </c>
      <c r="AF43" s="26"/>
      <c r="AG43" s="26">
        <v>0</v>
      </c>
      <c r="AH43" s="26"/>
      <c r="AI43" s="26">
        <v>0</v>
      </c>
      <c r="AJ43" s="26"/>
      <c r="AK43" s="26">
        <v>0</v>
      </c>
      <c r="AL43" s="26"/>
      <c r="AM43" s="26">
        <v>0</v>
      </c>
      <c r="AN43" s="26"/>
      <c r="AO43" s="26">
        <v>0</v>
      </c>
      <c r="AP43" s="26"/>
      <c r="AQ43" s="26">
        <v>0</v>
      </c>
      <c r="AR43" s="26"/>
      <c r="AS43" s="26">
        <v>0</v>
      </c>
      <c r="AT43" s="26"/>
      <c r="AU43" s="26">
        <v>0</v>
      </c>
      <c r="AV43" s="26"/>
      <c r="AW43" s="26">
        <v>0</v>
      </c>
      <c r="AX43" s="26"/>
      <c r="AY43" s="26">
        <v>0</v>
      </c>
      <c r="AZ43" s="26">
        <f>0.6837*1000</f>
        <v>683.69999999999993</v>
      </c>
      <c r="BA43" s="26">
        <v>0</v>
      </c>
      <c r="BB43" s="9" t="s">
        <v>49</v>
      </c>
    </row>
    <row r="44" spans="2:54" hidden="1" x14ac:dyDescent="0.25">
      <c r="B44" s="9"/>
      <c r="C44" s="9"/>
      <c r="D44" s="9"/>
      <c r="E44" s="17" t="s">
        <v>112</v>
      </c>
      <c r="F44" s="9"/>
      <c r="G44" s="26">
        <v>0</v>
      </c>
      <c r="H44" s="9"/>
      <c r="I44" s="9">
        <v>0</v>
      </c>
      <c r="J44" s="9"/>
      <c r="K44" s="9">
        <v>0</v>
      </c>
      <c r="L44" s="9"/>
      <c r="M44" s="26">
        <v>0</v>
      </c>
      <c r="N44" s="26"/>
      <c r="O44" s="26">
        <v>0</v>
      </c>
      <c r="P44" s="9"/>
      <c r="Q44" s="26">
        <v>0</v>
      </c>
      <c r="R44" s="26"/>
      <c r="S44" s="26">
        <v>0</v>
      </c>
      <c r="T44" s="26"/>
      <c r="U44" s="26">
        <v>0</v>
      </c>
      <c r="V44" s="26"/>
      <c r="W44" s="26">
        <v>0</v>
      </c>
      <c r="X44" s="26"/>
      <c r="Y44" s="26">
        <v>0</v>
      </c>
      <c r="Z44" s="26"/>
      <c r="AA44" s="26">
        <v>0</v>
      </c>
      <c r="AB44" s="26"/>
      <c r="AC44" s="26">
        <v>0</v>
      </c>
      <c r="AD44" s="26"/>
      <c r="AE44" s="26">
        <v>0</v>
      </c>
      <c r="AF44" s="26"/>
      <c r="AG44" s="26">
        <v>0</v>
      </c>
      <c r="AH44" s="26"/>
      <c r="AI44" s="26">
        <v>0</v>
      </c>
      <c r="AJ44" s="26"/>
      <c r="AK44" s="26">
        <v>0</v>
      </c>
      <c r="AL44" s="26"/>
      <c r="AM44" s="26">
        <v>0</v>
      </c>
      <c r="AN44" s="26"/>
      <c r="AO44" s="26">
        <v>0</v>
      </c>
      <c r="AP44" s="26"/>
      <c r="AQ44" s="26">
        <v>0</v>
      </c>
      <c r="AR44" s="26"/>
      <c r="AS44" s="26">
        <v>0</v>
      </c>
      <c r="AT44" s="26"/>
      <c r="AU44" s="26">
        <v>0</v>
      </c>
      <c r="AV44" s="26"/>
      <c r="AW44" s="26">
        <v>0</v>
      </c>
      <c r="AX44" s="26"/>
      <c r="AY44" s="26">
        <v>0</v>
      </c>
      <c r="AZ44" s="26">
        <f>0.015*1000</f>
        <v>15</v>
      </c>
      <c r="BA44" s="26">
        <v>0</v>
      </c>
      <c r="BB44" s="9" t="s">
        <v>49</v>
      </c>
    </row>
    <row r="45" spans="2:54" hidden="1" x14ac:dyDescent="0.25">
      <c r="B45" s="9"/>
      <c r="C45" s="9"/>
      <c r="D45" s="9"/>
      <c r="E45" s="17" t="s">
        <v>113</v>
      </c>
      <c r="F45" s="9"/>
      <c r="G45" s="26">
        <v>0</v>
      </c>
      <c r="H45" s="9"/>
      <c r="I45" s="9">
        <v>0</v>
      </c>
      <c r="J45" s="9"/>
      <c r="K45" s="9">
        <v>0</v>
      </c>
      <c r="L45" s="9"/>
      <c r="M45" s="26">
        <v>0</v>
      </c>
      <c r="N45" s="26"/>
      <c r="O45" s="26">
        <v>0</v>
      </c>
      <c r="P45" s="9"/>
      <c r="Q45" s="26">
        <v>0</v>
      </c>
      <c r="R45" s="26"/>
      <c r="S45" s="26">
        <v>0</v>
      </c>
      <c r="T45" s="26"/>
      <c r="U45" s="26">
        <v>0</v>
      </c>
      <c r="V45" s="26"/>
      <c r="W45" s="26">
        <v>0</v>
      </c>
      <c r="X45" s="26"/>
      <c r="Y45" s="26">
        <v>0</v>
      </c>
      <c r="Z45" s="26"/>
      <c r="AA45" s="26">
        <v>0</v>
      </c>
      <c r="AB45" s="26"/>
      <c r="AC45" s="26">
        <v>0</v>
      </c>
      <c r="AD45" s="26"/>
      <c r="AE45" s="26">
        <v>0</v>
      </c>
      <c r="AF45" s="26"/>
      <c r="AG45" s="26">
        <v>0</v>
      </c>
      <c r="AH45" s="26"/>
      <c r="AI45" s="26">
        <v>0</v>
      </c>
      <c r="AJ45" s="26"/>
      <c r="AK45" s="26">
        <v>0</v>
      </c>
      <c r="AL45" s="26"/>
      <c r="AM45" s="26">
        <v>0</v>
      </c>
      <c r="AN45" s="26"/>
      <c r="AO45" s="26">
        <v>0</v>
      </c>
      <c r="AP45" s="26"/>
      <c r="AQ45" s="26">
        <v>0</v>
      </c>
      <c r="AR45" s="26"/>
      <c r="AS45" s="26">
        <v>0</v>
      </c>
      <c r="AT45" s="26"/>
      <c r="AU45" s="26">
        <v>0</v>
      </c>
      <c r="AV45" s="26"/>
      <c r="AW45" s="26">
        <v>0</v>
      </c>
      <c r="AX45" s="26"/>
      <c r="AY45" s="26">
        <v>0</v>
      </c>
      <c r="AZ45" s="26">
        <f>0.8858*1000</f>
        <v>885.80000000000007</v>
      </c>
      <c r="BA45" s="26">
        <v>0</v>
      </c>
      <c r="BB45" s="9" t="s">
        <v>49</v>
      </c>
    </row>
    <row r="46" spans="2:54" x14ac:dyDescent="0.25">
      <c r="B46" s="9"/>
      <c r="C46" s="9"/>
      <c r="D46" s="9">
        <v>6</v>
      </c>
      <c r="E46" s="17" t="s">
        <v>102</v>
      </c>
      <c r="F46" s="9"/>
      <c r="G46" s="26">
        <v>0</v>
      </c>
      <c r="H46" s="9"/>
      <c r="I46" s="9">
        <v>0</v>
      </c>
      <c r="J46" s="9"/>
      <c r="K46" s="9">
        <v>0</v>
      </c>
      <c r="L46" s="9"/>
      <c r="M46" s="26">
        <v>0</v>
      </c>
      <c r="N46" s="26"/>
      <c r="O46" s="26">
        <v>0</v>
      </c>
      <c r="P46" s="9"/>
      <c r="Q46" s="26">
        <v>0</v>
      </c>
      <c r="R46" s="26"/>
      <c r="S46" s="26">
        <v>0</v>
      </c>
      <c r="T46" s="26"/>
      <c r="U46" s="26">
        <v>0</v>
      </c>
      <c r="V46" s="26"/>
      <c r="W46" s="26">
        <v>0</v>
      </c>
      <c r="X46" s="26"/>
      <c r="Y46" s="26">
        <v>0</v>
      </c>
      <c r="Z46" s="26"/>
      <c r="AA46" s="26">
        <v>0</v>
      </c>
      <c r="AB46" s="26"/>
      <c r="AC46" s="26">
        <v>0</v>
      </c>
      <c r="AD46" s="26"/>
      <c r="AE46" s="26">
        <v>0</v>
      </c>
      <c r="AF46" s="26"/>
      <c r="AG46" s="26">
        <v>0</v>
      </c>
      <c r="AH46" s="26"/>
      <c r="AI46" s="26">
        <v>0</v>
      </c>
      <c r="AJ46" s="26"/>
      <c r="AK46" s="26">
        <v>0</v>
      </c>
      <c r="AL46" s="26"/>
      <c r="AM46" s="26">
        <v>0</v>
      </c>
      <c r="AN46" s="26"/>
      <c r="AO46" s="26">
        <v>0</v>
      </c>
      <c r="AP46" s="26"/>
      <c r="AQ46" s="26">
        <v>0</v>
      </c>
      <c r="AR46" s="26"/>
      <c r="AS46" s="26">
        <v>0</v>
      </c>
      <c r="AT46" s="26"/>
      <c r="AU46" s="26">
        <v>0</v>
      </c>
      <c r="AV46" s="26">
        <f>0.0435*1000</f>
        <v>43.5</v>
      </c>
      <c r="AW46" s="26">
        <v>0</v>
      </c>
      <c r="AX46" s="26"/>
      <c r="AY46" s="26">
        <v>0</v>
      </c>
      <c r="AZ46" s="26"/>
      <c r="BA46" s="26">
        <v>0</v>
      </c>
      <c r="BB46" s="9" t="s">
        <v>49</v>
      </c>
    </row>
    <row r="47" spans="2:54" ht="45" x14ac:dyDescent="0.25">
      <c r="B47" s="9"/>
      <c r="C47" s="9"/>
      <c r="D47" s="9">
        <v>6</v>
      </c>
      <c r="E47" s="17" t="s">
        <v>99</v>
      </c>
      <c r="F47" s="9"/>
      <c r="G47" s="26">
        <v>0</v>
      </c>
      <c r="H47" s="9"/>
      <c r="I47" s="9">
        <v>0</v>
      </c>
      <c r="J47" s="9"/>
      <c r="K47" s="9">
        <v>0</v>
      </c>
      <c r="L47" s="9"/>
      <c r="M47" s="26">
        <v>0</v>
      </c>
      <c r="N47" s="26"/>
      <c r="O47" s="26">
        <v>0</v>
      </c>
      <c r="P47" s="9"/>
      <c r="Q47" s="26">
        <v>0</v>
      </c>
      <c r="R47" s="26"/>
      <c r="S47" s="26">
        <v>0</v>
      </c>
      <c r="T47" s="26"/>
      <c r="U47" s="26">
        <v>0</v>
      </c>
      <c r="V47" s="26"/>
      <c r="W47" s="26">
        <v>0</v>
      </c>
      <c r="X47" s="26"/>
      <c r="Y47" s="26">
        <v>0</v>
      </c>
      <c r="Z47" s="26"/>
      <c r="AA47" s="26">
        <v>0</v>
      </c>
      <c r="AB47" s="26"/>
      <c r="AC47" s="26">
        <v>0</v>
      </c>
      <c r="AD47" s="26"/>
      <c r="AE47" s="26">
        <v>0</v>
      </c>
      <c r="AF47" s="26"/>
      <c r="AG47" s="26">
        <v>0</v>
      </c>
      <c r="AH47" s="26"/>
      <c r="AI47" s="26">
        <v>0</v>
      </c>
      <c r="AJ47" s="26"/>
      <c r="AK47" s="26">
        <v>0</v>
      </c>
      <c r="AL47" s="26"/>
      <c r="AM47" s="26">
        <v>0</v>
      </c>
      <c r="AN47" s="26"/>
      <c r="AO47" s="26">
        <v>0</v>
      </c>
      <c r="AP47" s="26"/>
      <c r="AQ47" s="26">
        <v>0</v>
      </c>
      <c r="AR47" s="26">
        <f>2.14984*1000</f>
        <v>2149.84</v>
      </c>
      <c r="AS47" s="26">
        <v>0</v>
      </c>
      <c r="AT47" s="26"/>
      <c r="AU47" s="26">
        <v>0</v>
      </c>
      <c r="AV47" s="26"/>
      <c r="AW47" s="26">
        <v>0</v>
      </c>
      <c r="AX47" s="26"/>
      <c r="AY47" s="26">
        <v>0</v>
      </c>
      <c r="AZ47" s="26"/>
      <c r="BA47" s="26">
        <v>0</v>
      </c>
      <c r="BB47" s="9" t="s">
        <v>49</v>
      </c>
    </row>
    <row r="48" spans="2:54" ht="45" x14ac:dyDescent="0.25">
      <c r="B48" s="9"/>
      <c r="C48" s="9"/>
      <c r="D48" s="9">
        <v>6</v>
      </c>
      <c r="E48" s="17" t="s">
        <v>48</v>
      </c>
      <c r="F48" s="9">
        <f>7.093907*1000</f>
        <v>7093.9070000000002</v>
      </c>
      <c r="G48" s="9">
        <v>0</v>
      </c>
      <c r="H48" s="9">
        <f>13.83887*1000</f>
        <v>13838.87</v>
      </c>
      <c r="I48" s="9">
        <v>0</v>
      </c>
      <c r="J48" s="9">
        <f>31.39866*1000</f>
        <v>31398.66</v>
      </c>
      <c r="K48" s="9">
        <v>0</v>
      </c>
      <c r="L48" s="9">
        <f>18.726248*1000</f>
        <v>18726.248</v>
      </c>
      <c r="M48" s="26">
        <v>0</v>
      </c>
      <c r="N48" s="26"/>
      <c r="O48" s="26">
        <v>0</v>
      </c>
      <c r="P48" s="9">
        <f>38.95*1000</f>
        <v>38950</v>
      </c>
      <c r="Q48" s="26">
        <v>0</v>
      </c>
      <c r="R48" s="26"/>
      <c r="S48" s="26">
        <v>0</v>
      </c>
      <c r="T48" s="26"/>
      <c r="U48" s="26">
        <v>0</v>
      </c>
      <c r="V48" s="26"/>
      <c r="W48" s="26">
        <v>0</v>
      </c>
      <c r="X48" s="26"/>
      <c r="Y48" s="26">
        <v>0</v>
      </c>
      <c r="Z48" s="26"/>
      <c r="AA48" s="26">
        <v>0</v>
      </c>
      <c r="AB48" s="26"/>
      <c r="AC48" s="26">
        <v>0</v>
      </c>
      <c r="AD48" s="26"/>
      <c r="AE48" s="26">
        <v>0</v>
      </c>
      <c r="AF48" s="26">
        <f>26.113099*1000</f>
        <v>26113.098999999998</v>
      </c>
      <c r="AG48" s="26">
        <v>0</v>
      </c>
      <c r="AH48" s="26">
        <f>31.9252477*1000</f>
        <v>31925.2477</v>
      </c>
      <c r="AI48" s="26">
        <f>12.34118047*1000</f>
        <v>12341.180469999999</v>
      </c>
      <c r="AJ48" s="26">
        <f>0.0417156*1000</f>
        <v>41.715600000000002</v>
      </c>
      <c r="AK48" s="26">
        <v>0</v>
      </c>
      <c r="AL48" s="26">
        <f>69.877536*1000</f>
        <v>69877.536000000007</v>
      </c>
      <c r="AM48" s="26">
        <v>0</v>
      </c>
      <c r="AN48" s="26">
        <f>111.6962664*1000</f>
        <v>111696.26639999999</v>
      </c>
      <c r="AO48" s="26">
        <v>0</v>
      </c>
      <c r="AP48" s="26">
        <f>0.0009*1000</f>
        <v>0.9</v>
      </c>
      <c r="AQ48" s="26">
        <v>0</v>
      </c>
      <c r="AR48" s="26"/>
      <c r="AS48" s="26">
        <v>0</v>
      </c>
      <c r="AT48" s="26">
        <f>0.0036*1000</f>
        <v>3.6</v>
      </c>
      <c r="AU48" s="26">
        <v>0</v>
      </c>
      <c r="AV48" s="26">
        <f>0.0009*1000</f>
        <v>0.9</v>
      </c>
      <c r="AW48" s="26">
        <v>0</v>
      </c>
      <c r="AX48" s="26">
        <f>60.3665*1000</f>
        <v>60366.5</v>
      </c>
      <c r="AY48" s="26">
        <v>0</v>
      </c>
      <c r="AZ48" s="26"/>
      <c r="BA48" s="26">
        <v>0</v>
      </c>
      <c r="BB48" s="9" t="s">
        <v>49</v>
      </c>
    </row>
    <row r="49" spans="2:54" ht="22.5" customHeight="1" x14ac:dyDescent="0.25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</row>
    <row r="50" spans="2:54" ht="30.75" customHeight="1" x14ac:dyDescent="0.25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</row>
  </sheetData>
  <mergeCells count="34">
    <mergeCell ref="B50:BB50"/>
    <mergeCell ref="P5:Q5"/>
    <mergeCell ref="R5:S5"/>
    <mergeCell ref="T5:U5"/>
    <mergeCell ref="BB4:BB6"/>
    <mergeCell ref="F4:BA4"/>
    <mergeCell ref="Z5:AA5"/>
    <mergeCell ref="AB5:AC5"/>
    <mergeCell ref="AT5:AU5"/>
    <mergeCell ref="AD5:AE5"/>
    <mergeCell ref="AZ5:BA5"/>
    <mergeCell ref="V5:W5"/>
    <mergeCell ref="AF5:AG5"/>
    <mergeCell ref="AR5:AS5"/>
    <mergeCell ref="B49:BB49"/>
    <mergeCell ref="AH5:AI5"/>
    <mergeCell ref="X5:Y5"/>
    <mergeCell ref="AJ5:AK5"/>
    <mergeCell ref="AL5:AM5"/>
    <mergeCell ref="AN5:AO5"/>
    <mergeCell ref="B2:BB2"/>
    <mergeCell ref="B3:BB3"/>
    <mergeCell ref="E4:E6"/>
    <mergeCell ref="J5:K5"/>
    <mergeCell ref="H5:I5"/>
    <mergeCell ref="F5:G5"/>
    <mergeCell ref="B4:B6"/>
    <mergeCell ref="C4:C6"/>
    <mergeCell ref="D4:D6"/>
    <mergeCell ref="L5:M5"/>
    <mergeCell ref="N5:O5"/>
    <mergeCell ref="AP5:AQ5"/>
    <mergeCell ref="AV5:AW5"/>
    <mergeCell ref="AX5:AY5"/>
  </mergeCells>
  <pageMargins left="0.7" right="0.7" top="0.75" bottom="0.75" header="0.3" footer="0.3"/>
  <pageSetup paperSize="9" scale="85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"/>
  <sheetViews>
    <sheetView workbookViewId="0">
      <selection activeCell="F13" sqref="F13"/>
    </sheetView>
  </sheetViews>
  <sheetFormatPr defaultRowHeight="15" x14ac:dyDescent="0.25"/>
  <cols>
    <col min="6" max="7" width="15.42578125" customWidth="1"/>
    <col min="8" max="8" width="31.42578125" customWidth="1"/>
  </cols>
  <sheetData>
    <row r="2" spans="2:8" x14ac:dyDescent="0.25">
      <c r="B2" s="49" t="s">
        <v>133</v>
      </c>
      <c r="C2" s="50"/>
      <c r="D2" s="50"/>
      <c r="E2" s="50"/>
      <c r="F2" s="50"/>
      <c r="G2" s="50"/>
      <c r="H2" s="51"/>
    </row>
    <row r="3" spans="2:8" x14ac:dyDescent="0.25">
      <c r="B3" s="48" t="s">
        <v>0</v>
      </c>
      <c r="C3" s="48" t="s">
        <v>27</v>
      </c>
      <c r="D3" s="48" t="s">
        <v>28</v>
      </c>
      <c r="E3" s="48" t="s">
        <v>29</v>
      </c>
      <c r="F3" s="53" t="s">
        <v>134</v>
      </c>
      <c r="G3" s="62"/>
      <c r="H3" s="63" t="s">
        <v>31</v>
      </c>
    </row>
    <row r="4" spans="2:8" x14ac:dyDescent="0.25">
      <c r="B4" s="48"/>
      <c r="C4" s="48"/>
      <c r="D4" s="48"/>
      <c r="E4" s="48"/>
      <c r="F4" s="48" t="s">
        <v>135</v>
      </c>
      <c r="G4" s="48"/>
      <c r="H4" s="64"/>
    </row>
    <row r="5" spans="2:8" ht="25.5" x14ac:dyDescent="0.25">
      <c r="B5" s="48"/>
      <c r="C5" s="48"/>
      <c r="D5" s="48"/>
      <c r="E5" s="48"/>
      <c r="F5" s="43" t="s">
        <v>32</v>
      </c>
      <c r="G5" s="43" t="s">
        <v>33</v>
      </c>
      <c r="H5" s="65"/>
    </row>
    <row r="6" spans="2:8" x14ac:dyDescent="0.25">
      <c r="B6" s="43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11</v>
      </c>
    </row>
    <row r="7" spans="2:8" x14ac:dyDescent="0.25">
      <c r="B7" s="59" t="s">
        <v>136</v>
      </c>
      <c r="C7" s="60"/>
      <c r="D7" s="60"/>
      <c r="E7" s="60"/>
      <c r="F7" s="60"/>
      <c r="G7" s="60"/>
      <c r="H7" s="61"/>
    </row>
  </sheetData>
  <mergeCells count="9">
    <mergeCell ref="B7:H7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B6" sqref="B6:F6"/>
    </sheetView>
  </sheetViews>
  <sheetFormatPr defaultRowHeight="15" x14ac:dyDescent="0.25"/>
  <cols>
    <col min="1" max="2" width="9.140625" style="7"/>
    <col min="3" max="3" width="25.28515625" style="7" customWidth="1"/>
    <col min="4" max="4" width="20.28515625" style="7" customWidth="1"/>
    <col min="5" max="5" width="18.5703125" style="7" customWidth="1"/>
    <col min="6" max="6" width="17.28515625" style="7" customWidth="1"/>
    <col min="7" max="16384" width="9.140625" style="7"/>
  </cols>
  <sheetData>
    <row r="3" spans="2:6" x14ac:dyDescent="0.25">
      <c r="B3" s="66" t="s">
        <v>34</v>
      </c>
      <c r="C3" s="66"/>
      <c r="D3" s="66"/>
      <c r="E3" s="66"/>
      <c r="F3" s="66"/>
    </row>
    <row r="4" spans="2:6" ht="43.5" x14ac:dyDescent="0.25">
      <c r="B4" s="5" t="s">
        <v>1</v>
      </c>
      <c r="C4" s="3" t="s">
        <v>41</v>
      </c>
      <c r="D4" s="3" t="s">
        <v>45</v>
      </c>
      <c r="E4" s="3" t="s">
        <v>42</v>
      </c>
      <c r="F4" s="3" t="s">
        <v>43</v>
      </c>
    </row>
    <row r="5" spans="2:6" x14ac:dyDescent="0.25">
      <c r="B5" s="5" t="s">
        <v>44</v>
      </c>
      <c r="C5" s="5" t="s">
        <v>44</v>
      </c>
      <c r="D5" s="5" t="s">
        <v>44</v>
      </c>
      <c r="E5" s="5" t="s">
        <v>44</v>
      </c>
      <c r="F5" s="5" t="s">
        <v>44</v>
      </c>
    </row>
    <row r="6" spans="2:6" ht="18" customHeight="1" x14ac:dyDescent="0.25">
      <c r="B6" s="67"/>
      <c r="C6" s="68"/>
      <c r="D6" s="68"/>
      <c r="E6" s="68"/>
      <c r="F6" s="69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tabSelected="1" zoomScale="68" zoomScaleNormal="68" workbookViewId="0">
      <selection activeCell="F41" sqref="F41"/>
    </sheetView>
  </sheetViews>
  <sheetFormatPr defaultRowHeight="15" x14ac:dyDescent="0.25"/>
  <cols>
    <col min="3" max="3" width="26.5703125" customWidth="1"/>
    <col min="4" max="4" width="16.85546875" customWidth="1"/>
    <col min="5" max="5" width="17.140625" customWidth="1"/>
    <col min="6" max="6" width="17.42578125" customWidth="1"/>
    <col min="7" max="7" width="15.85546875" customWidth="1"/>
  </cols>
  <sheetData>
    <row r="2" spans="2:7" ht="15" customHeight="1" x14ac:dyDescent="0.25">
      <c r="B2" s="49" t="s">
        <v>35</v>
      </c>
      <c r="C2" s="50"/>
      <c r="D2" s="50"/>
      <c r="E2" s="50"/>
      <c r="F2" s="50"/>
      <c r="G2" s="51"/>
    </row>
    <row r="3" spans="2:7" ht="51" x14ac:dyDescent="0.25">
      <c r="B3" s="5" t="s">
        <v>1</v>
      </c>
      <c r="C3" s="33" t="s">
        <v>36</v>
      </c>
      <c r="D3" s="33" t="s">
        <v>37</v>
      </c>
      <c r="E3" s="33" t="s">
        <v>38</v>
      </c>
      <c r="F3" s="33" t="s">
        <v>39</v>
      </c>
      <c r="G3" s="33" t="s">
        <v>40</v>
      </c>
    </row>
    <row r="4" spans="2:7" ht="29.45" customHeight="1" x14ac:dyDescent="0.25">
      <c r="B4" s="34"/>
      <c r="C4" s="4" t="s">
        <v>114</v>
      </c>
      <c r="D4" s="70">
        <v>27638737.234999999</v>
      </c>
      <c r="E4" s="21" t="s">
        <v>142</v>
      </c>
      <c r="F4" s="5" t="s">
        <v>44</v>
      </c>
      <c r="G4" s="70">
        <v>31002547.664000001</v>
      </c>
    </row>
    <row r="5" spans="2:7" ht="13.9" customHeight="1" x14ac:dyDescent="0.25"/>
    <row r="6" spans="2:7" hidden="1" x14ac:dyDescent="0.25">
      <c r="B6" s="34"/>
      <c r="C6" s="4"/>
      <c r="D6" s="9">
        <v>0</v>
      </c>
      <c r="E6" s="21"/>
      <c r="F6" s="9"/>
      <c r="G6" s="9">
        <v>0</v>
      </c>
    </row>
    <row r="7" spans="2:7" hidden="1" x14ac:dyDescent="0.25">
      <c r="B7" s="34"/>
      <c r="C7" s="4"/>
      <c r="D7" s="9">
        <v>0</v>
      </c>
      <c r="E7" s="21"/>
      <c r="F7" s="9"/>
      <c r="G7" s="9">
        <v>0</v>
      </c>
    </row>
    <row r="8" spans="2:7" hidden="1" x14ac:dyDescent="0.25">
      <c r="B8" s="34"/>
      <c r="C8" s="4"/>
      <c r="D8" s="9">
        <v>0</v>
      </c>
      <c r="E8" s="21"/>
      <c r="F8" s="9"/>
      <c r="G8" s="9">
        <v>0</v>
      </c>
    </row>
    <row r="9" spans="2:7" hidden="1" x14ac:dyDescent="0.25">
      <c r="B9" s="34"/>
      <c r="C9" s="4"/>
      <c r="D9" s="9">
        <v>0</v>
      </c>
      <c r="E9" s="21"/>
      <c r="F9" s="9"/>
      <c r="G9" s="9">
        <v>0</v>
      </c>
    </row>
    <row r="10" spans="2:7" hidden="1" x14ac:dyDescent="0.25">
      <c r="B10" s="34"/>
      <c r="C10" s="4"/>
      <c r="D10" s="9">
        <v>0</v>
      </c>
      <c r="E10" s="21"/>
      <c r="F10" s="9"/>
      <c r="G10" s="9">
        <v>0</v>
      </c>
    </row>
    <row r="11" spans="2:7" ht="3.6" hidden="1" customHeight="1" x14ac:dyDescent="0.25">
      <c r="B11" s="34"/>
      <c r="C11" s="4"/>
      <c r="D11" s="9"/>
      <c r="E11" s="21"/>
      <c r="F11" s="9"/>
      <c r="G11" s="9">
        <v>0</v>
      </c>
    </row>
    <row r="12" spans="2:7" hidden="1" x14ac:dyDescent="0.25">
      <c r="B12" s="34"/>
      <c r="C12" s="4"/>
      <c r="D12" s="4"/>
      <c r="E12" s="35"/>
      <c r="F12" s="4"/>
      <c r="G12" s="4"/>
    </row>
    <row r="13" spans="2:7" ht="18.75" x14ac:dyDescent="0.25">
      <c r="B13" s="1"/>
    </row>
  </sheetData>
  <autoFilter ref="E2:E25"/>
  <mergeCells count="1"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НОФ</vt:lpstr>
      <vt:lpstr> выбр НОФ</vt:lpstr>
      <vt:lpstr>сброс НОФ</vt:lpstr>
      <vt:lpstr> сточн водах НОФ</vt:lpstr>
      <vt:lpstr>отх НОФ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2023-03-20T08:25:27Z</dcterms:modified>
</cp:coreProperties>
</file>