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1240" windowHeight="12645" firstSheet="3" activeTab="4"/>
  </bookViews>
  <sheets>
    <sheet name="ПРН" sheetId="1" r:id="rId1"/>
    <sheet name=" выбрПРН" sheetId="2" r:id="rId2"/>
    <sheet name="сброс ПРН" sheetId="6" r:id="rId3"/>
    <sheet name=" сточн водах ПРН" sheetId="4" r:id="rId4"/>
    <sheet name="отхПРН" sheetId="5" r:id="rId5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R37" i="2" l="1"/>
  <c r="BR20" i="2"/>
  <c r="BR17" i="2"/>
  <c r="BR16" i="2"/>
  <c r="BN37" i="2" l="1"/>
  <c r="BL37" i="2"/>
  <c r="BJ37" i="2"/>
  <c r="BH37" i="2"/>
  <c r="AR37" i="2"/>
  <c r="AP37" i="2"/>
  <c r="Z37" i="2"/>
  <c r="X37" i="2"/>
  <c r="F37" i="2"/>
  <c r="F20" i="2"/>
  <c r="F17" i="2"/>
  <c r="F16" i="2"/>
  <c r="BP35" i="2" l="1"/>
  <c r="BP34" i="2"/>
  <c r="BP33" i="2"/>
  <c r="BP32" i="2"/>
  <c r="BP31" i="2"/>
  <c r="BP30" i="2"/>
  <c r="BP28" i="2"/>
  <c r="BP27" i="2"/>
  <c r="BF37" i="2"/>
  <c r="BD37" i="2"/>
  <c r="BB37" i="2"/>
  <c r="AZ37" i="2"/>
  <c r="AX37" i="2"/>
  <c r="AV37" i="2"/>
  <c r="AT37" i="2"/>
  <c r="AN37" i="2"/>
  <c r="AL37" i="2"/>
  <c r="AJ37" i="2"/>
  <c r="AH37" i="2"/>
  <c r="AF37" i="2"/>
  <c r="F14" i="2"/>
  <c r="AD37" i="2" l="1"/>
  <c r="AD20" i="2"/>
  <c r="AD18" i="2"/>
  <c r="AD17" i="2"/>
  <c r="AD16" i="2"/>
  <c r="AB37" i="2"/>
  <c r="AB20" i="2"/>
  <c r="AB18" i="2"/>
  <c r="AB17" i="2"/>
  <c r="AB16" i="2"/>
  <c r="Z20" i="2"/>
  <c r="Z18" i="2"/>
  <c r="Z17" i="2"/>
  <c r="Z16" i="2"/>
  <c r="X20" i="2"/>
  <c r="X18" i="2"/>
  <c r="X17" i="2"/>
  <c r="X16" i="2"/>
  <c r="V36" i="2"/>
  <c r="V19" i="2"/>
  <c r="T29" i="2"/>
  <c r="T28" i="2"/>
  <c r="T27" i="2"/>
  <c r="T26" i="2"/>
  <c r="T25" i="2"/>
  <c r="T24" i="2"/>
  <c r="T23" i="2"/>
  <c r="R36" i="2"/>
  <c r="R19" i="2"/>
  <c r="P29" i="2"/>
  <c r="P28" i="2"/>
  <c r="P27" i="2"/>
  <c r="P26" i="2"/>
  <c r="P25" i="2"/>
  <c r="P24" i="2"/>
  <c r="P23" i="2"/>
  <c r="N36" i="2"/>
  <c r="N19" i="2"/>
  <c r="L36" i="2"/>
  <c r="L19" i="2"/>
  <c r="J36" i="2"/>
  <c r="J20" i="2"/>
  <c r="J18" i="2"/>
  <c r="J17" i="2"/>
  <c r="J16" i="2"/>
  <c r="J15" i="2"/>
  <c r="H37" i="2"/>
  <c r="H36" i="2"/>
  <c r="H22" i="2"/>
  <c r="H21" i="2"/>
  <c r="H20" i="2"/>
  <c r="H17" i="2"/>
  <c r="H16" i="2"/>
  <c r="H14" i="2"/>
  <c r="H11" i="2"/>
  <c r="H10" i="2"/>
  <c r="H9" i="2"/>
  <c r="H8" i="2"/>
  <c r="F36" i="2"/>
  <c r="F35" i="2"/>
  <c r="F34" i="2"/>
  <c r="F33" i="2"/>
  <c r="F32" i="2"/>
  <c r="F31" i="2"/>
  <c r="F30" i="2"/>
  <c r="F28" i="2"/>
  <c r="F27" i="2"/>
  <c r="F22" i="2"/>
  <c r="F21" i="2"/>
  <c r="F19" i="2"/>
  <c r="F13" i="2"/>
  <c r="F12" i="2"/>
  <c r="F11" i="2"/>
  <c r="F10" i="2"/>
  <c r="F9" i="2"/>
  <c r="F8" i="2"/>
</calcChain>
</file>

<file path=xl/comments1.xml><?xml version="1.0" encoding="utf-8"?>
<comments xmlns="http://schemas.openxmlformats.org/spreadsheetml/2006/main">
  <authors>
    <author>Автор</author>
  </authors>
  <commentList>
    <comment ref="F5" authorId="0" shapeId="0">
      <text>
        <r>
          <rPr>
            <sz val="9"/>
            <color indexed="81"/>
            <rFont val="Tahoma"/>
            <charset val="1"/>
          </rPr>
          <t xml:space="preserve">0001
</t>
        </r>
      </text>
    </comment>
    <comment ref="H5" authorId="0" shapeId="0">
      <text>
        <r>
          <rPr>
            <sz val="9"/>
            <color indexed="81"/>
            <rFont val="Tahoma"/>
            <charset val="1"/>
          </rPr>
          <t xml:space="preserve">0015, 0016, 0017, 0018, 0019
</t>
        </r>
      </text>
    </comment>
    <comment ref="J5" authorId="0" shapeId="0">
      <text>
        <r>
          <rPr>
            <sz val="9"/>
            <color indexed="81"/>
            <rFont val="Tahoma"/>
            <charset val="1"/>
          </rPr>
          <t xml:space="preserve">0014
</t>
        </r>
      </text>
    </comment>
    <comment ref="L5" authorId="0" shapeId="0">
      <text>
        <r>
          <rPr>
            <sz val="9"/>
            <color indexed="81"/>
            <rFont val="Tahoma"/>
            <charset val="1"/>
          </rPr>
          <t xml:space="preserve">0012
</t>
        </r>
      </text>
    </comment>
    <comment ref="N5" authorId="0" shapeId="0">
      <text>
        <r>
          <rPr>
            <sz val="9"/>
            <color indexed="81"/>
            <rFont val="Tahoma"/>
            <charset val="1"/>
          </rPr>
          <t xml:space="preserve">0013
</t>
        </r>
      </text>
    </comment>
    <comment ref="P5" authorId="0" shapeId="0">
      <text>
        <r>
          <rPr>
            <sz val="9"/>
            <color indexed="81"/>
            <rFont val="Tahoma"/>
            <charset val="1"/>
          </rPr>
          <t xml:space="preserve">0011
</t>
        </r>
      </text>
    </comment>
    <comment ref="R5" authorId="0" shapeId="0">
      <text>
        <r>
          <rPr>
            <sz val="9"/>
            <color indexed="81"/>
            <rFont val="Tahoma"/>
            <charset val="1"/>
          </rPr>
          <t xml:space="preserve">0010
</t>
        </r>
      </text>
    </comment>
    <comment ref="T5" authorId="0" shapeId="0">
      <text>
        <r>
          <rPr>
            <sz val="11"/>
            <color indexed="81"/>
            <rFont val="Tahoma"/>
            <family val="2"/>
            <charset val="204"/>
          </rPr>
          <t>0004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V5" authorId="0" shapeId="0">
      <text>
        <r>
          <rPr>
            <sz val="9"/>
            <color indexed="81"/>
            <rFont val="Tahoma"/>
            <charset val="1"/>
          </rPr>
          <t xml:space="preserve">0003
</t>
        </r>
      </text>
    </comment>
    <comment ref="X5" authorId="0" shapeId="0">
      <text>
        <r>
          <rPr>
            <sz val="10"/>
            <color indexed="81"/>
            <rFont val="Tahoma"/>
            <family val="2"/>
            <charset val="204"/>
          </rPr>
          <t xml:space="preserve">0022
</t>
        </r>
      </text>
    </comment>
    <comment ref="Z5" authorId="0" shapeId="0">
      <text>
        <r>
          <rPr>
            <sz val="9"/>
            <color indexed="81"/>
            <rFont val="Tahoma"/>
            <family val="2"/>
            <charset val="204"/>
          </rPr>
          <t>0023</t>
        </r>
      </text>
    </comment>
    <comment ref="AF5" authorId="0" shapeId="0">
      <text>
        <r>
          <rPr>
            <sz val="9"/>
            <color indexed="81"/>
            <rFont val="Tahoma"/>
            <family val="2"/>
            <charset val="204"/>
          </rPr>
          <t>6002</t>
        </r>
      </text>
    </comment>
    <comment ref="AH5" authorId="0" shapeId="0">
      <text>
        <r>
          <rPr>
            <sz val="9"/>
            <color indexed="81"/>
            <rFont val="Tahoma"/>
            <family val="2"/>
            <charset val="204"/>
          </rPr>
          <t xml:space="preserve">6003
</t>
        </r>
      </text>
    </comment>
    <comment ref="AJ5" authorId="0" shapeId="0">
      <text>
        <r>
          <rPr>
            <sz val="10"/>
            <color indexed="81"/>
            <rFont val="Tahoma"/>
            <family val="2"/>
            <charset val="204"/>
          </rPr>
          <t>6004</t>
        </r>
      </text>
    </comment>
    <comment ref="AP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6008
</t>
        </r>
      </text>
    </comment>
    <comment ref="AR5" authorId="0" shapeId="0">
      <text>
        <r>
          <rPr>
            <sz val="11"/>
            <color indexed="81"/>
            <rFont val="Tahoma"/>
            <family val="2"/>
            <charset val="204"/>
          </rPr>
          <t>6007</t>
        </r>
      </text>
    </comment>
    <comment ref="AV5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6012
</t>
        </r>
      </text>
    </comment>
    <comment ref="AX5" authorId="0" shapeId="0">
      <text>
        <r>
          <rPr>
            <sz val="9"/>
            <color indexed="81"/>
            <rFont val="Tahoma"/>
            <family val="2"/>
            <charset val="204"/>
          </rPr>
          <t xml:space="preserve">6013
</t>
        </r>
      </text>
    </comment>
    <comment ref="AZ5" authorId="0" shapeId="0">
      <text>
        <r>
          <rPr>
            <sz val="9"/>
            <color indexed="81"/>
            <rFont val="Tahoma"/>
            <family val="2"/>
            <charset val="204"/>
          </rPr>
          <t xml:space="preserve">6015
</t>
        </r>
      </text>
    </comment>
    <comment ref="BD5" authorId="0" shapeId="0">
      <text>
        <r>
          <rPr>
            <sz val="9"/>
            <color indexed="81"/>
            <rFont val="Tahoma"/>
            <family val="2"/>
            <charset val="204"/>
          </rPr>
          <t xml:space="preserve">6017
</t>
        </r>
      </text>
    </comment>
    <comment ref="BF5" authorId="0" shapeId="0">
      <text>
        <r>
          <rPr>
            <sz val="9"/>
            <color indexed="81"/>
            <rFont val="Tahoma"/>
            <family val="2"/>
            <charset val="204"/>
          </rPr>
          <t xml:space="preserve">6018
</t>
        </r>
      </text>
    </comment>
    <comment ref="BL5" authorId="0" shapeId="0">
      <text>
        <r>
          <rPr>
            <sz val="9"/>
            <color indexed="81"/>
            <rFont val="Tahoma"/>
            <family val="2"/>
            <charset val="204"/>
          </rPr>
          <t xml:space="preserve">6023
</t>
        </r>
      </text>
    </comment>
    <comment ref="BP5" authorId="0" shapeId="0">
      <text>
        <r>
          <rPr>
            <sz val="9"/>
            <color indexed="81"/>
            <rFont val="Tahoma"/>
            <family val="2"/>
            <charset val="204"/>
          </rPr>
          <t xml:space="preserve">6014
</t>
        </r>
      </text>
    </comment>
    <comment ref="BR5" authorId="0" shapeId="0">
      <text>
        <r>
          <rPr>
            <sz val="9"/>
            <color indexed="81"/>
            <rFont val="Tahoma"/>
            <family val="2"/>
            <charset val="204"/>
          </rPr>
          <t xml:space="preserve">6101
</t>
        </r>
      </text>
    </comment>
  </commentList>
</comments>
</file>

<file path=xl/sharedStrings.xml><?xml version="1.0" encoding="utf-8"?>
<sst xmlns="http://schemas.openxmlformats.org/spreadsheetml/2006/main" count="258" uniqueCount="142">
  <si>
    <t>№ п/п</t>
  </si>
  <si>
    <t>№</t>
  </si>
  <si>
    <t>Общие сведения</t>
  </si>
  <si>
    <t>Наименование</t>
  </si>
  <si>
    <t>Данные</t>
  </si>
  <si>
    <t>Наименование предприятия (оператор объекта)</t>
  </si>
  <si>
    <t>БИН предприятия</t>
  </si>
  <si>
    <t>Почтовый адрес предприятия</t>
  </si>
  <si>
    <t>ФИО первого руководителя предприятия</t>
  </si>
  <si>
    <t>ФИО лица, уполномоченного соответствующим оператором на представление от его имени информации в Регистр выбросов и переноса загрязнителей, подписывающего данные электронной цифровой подписью</t>
  </si>
  <si>
    <t>Отчетный год</t>
  </si>
  <si>
    <t>Номер/наименование промышленной площадки (в случае наличия)</t>
  </si>
  <si>
    <t>Фактический адрес промышленной площадки:</t>
  </si>
  <si>
    <t>8.1.</t>
  </si>
  <si>
    <t>Область</t>
  </si>
  <si>
    <t>8.2.</t>
  </si>
  <si>
    <t>Город</t>
  </si>
  <si>
    <t>8.3.</t>
  </si>
  <si>
    <t>улица/участок</t>
  </si>
  <si>
    <t>8.4.</t>
  </si>
  <si>
    <t>№ дома /строения/участка</t>
  </si>
  <si>
    <t>Географические координаты промышленной площадки (ее границы по периметру и местоположение) (градусы, минуты, секунды)</t>
  </si>
  <si>
    <t>Тип методологии, использовавшейся для получения информации о количествах загрязнителей и отходов</t>
  </si>
  <si>
    <t>Данные по объекту</t>
  </si>
  <si>
    <t>Наименование объекта, по которому представляется отчетность*</t>
  </si>
  <si>
    <t>Вид деятельности объекта, по которому представляется отчетность **</t>
  </si>
  <si>
    <t>Данные о выбросе загрязнителей в атмосферу за отчетный год</t>
  </si>
  <si>
    <t>Номер по CAS</t>
  </si>
  <si>
    <t>Категория (группа) веществ</t>
  </si>
  <si>
    <t>Наименование загрязнителя*</t>
  </si>
  <si>
    <t>Количество каждого загрязнителя, выброс которого был осуществлен в атмосферный воздух на объекте за отчетный год отдельно по каждому стационарному источнику объекта, кг/год **</t>
  </si>
  <si>
    <t>Тип методологии, использовавшейся для получения информации о количестве загрязнителей с указанием того, на чем основана информация (измерения - И, расчеты - Р)</t>
  </si>
  <si>
    <t>всего (плановые)</t>
  </si>
  <si>
    <t>в результате аварии</t>
  </si>
  <si>
    <t>* перечень загрязнителей с пороговыми значениями выбросов в воздух для отчетности по отраслям промышленности (видам деятельности) указан в Приложении 2 настоящих Правил</t>
  </si>
  <si>
    <t xml:space="preserve"> ** данные по выбросу загрязнителей указываются в случае превышения пороговых значений, установленных для каждого загрязнителя в Приложении 2 настоящих Правил.  В случае, когда плановый объем выбросов загрязнителей не превышает пороговые значения, установленные Приложением 2 настоящих Правил, но в сумме с внеплановыми аварийными выбросами загрязнителей, произошедшими в течение отчетного периода, превышает установленные пороговые значения для тех или иных загрязнителей, операторы объектов представляют данные по этим загрязнителям, совокупный объем выбросов которых превысил пороговые значения </t>
  </si>
  <si>
    <t>Перенос загрязнителей в сточных водах за пределы участка*</t>
  </si>
  <si>
    <t xml:space="preserve"> Данные об объемах отходов </t>
  </si>
  <si>
    <t>Вид отхода</t>
  </si>
  <si>
    <t>Объем, накопленных отходов на начало отчетного года (т)</t>
  </si>
  <si>
    <t>Код отхода в соответствии с классификатором отходов*</t>
  </si>
  <si>
    <t>Вид операции, которому подвергается отход ("У"/ "В")</t>
  </si>
  <si>
    <t>Остаток отходов на конец отчетного года (т)</t>
  </si>
  <si>
    <r>
      <t>Объем переданных стоков сторонним организациям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)*</t>
    </r>
  </si>
  <si>
    <r>
      <t>Повторное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</t>
    </r>
  </si>
  <si>
    <t>* Объем закачки воды в пласт (м3)</t>
  </si>
  <si>
    <t>-</t>
  </si>
  <si>
    <r>
      <t>Оборотное использование (м</t>
    </r>
    <r>
      <rPr>
        <vertAlign val="superscript"/>
        <sz val="11"/>
        <color rgb="FF000000"/>
        <rFont val="Times New Roman"/>
        <family val="1"/>
        <charset val="204"/>
      </rPr>
      <t>3</t>
    </r>
    <r>
      <rPr>
        <sz val="10"/>
        <color rgb="FF000000"/>
        <rFont val="Times New Roman"/>
        <family val="1"/>
        <charset val="204"/>
      </rPr>
      <t>)-факт</t>
    </r>
  </si>
  <si>
    <t xml:space="preserve">Железо оксид </t>
  </si>
  <si>
    <t>Сероводород</t>
  </si>
  <si>
    <t>Оксид углерода</t>
  </si>
  <si>
    <t>Смесь углеводовС1-С5</t>
  </si>
  <si>
    <t>Смесь углеводовС6-С10</t>
  </si>
  <si>
    <t>Пентилены</t>
  </si>
  <si>
    <t>Бензол</t>
  </si>
  <si>
    <t>Диметилбензол</t>
  </si>
  <si>
    <t>Метилбензол</t>
  </si>
  <si>
    <t>Этилбензол</t>
  </si>
  <si>
    <t>Смесь углеводородов С12-С19</t>
  </si>
  <si>
    <t xml:space="preserve">Пыль неорганическая 70-20 % </t>
  </si>
  <si>
    <t>630-08-0</t>
  </si>
  <si>
    <t>Р</t>
  </si>
  <si>
    <t>рудник Нурказган</t>
  </si>
  <si>
    <t>060441000268</t>
  </si>
  <si>
    <t xml:space="preserve">рудник Нурказган          </t>
  </si>
  <si>
    <t>Добыча медных руд подземным способом</t>
  </si>
  <si>
    <t>Вмещающая порода</t>
  </si>
  <si>
    <t>010101</t>
  </si>
  <si>
    <t>Ствол "Вентиляционный"</t>
  </si>
  <si>
    <t>диВанадий пентоксид</t>
  </si>
  <si>
    <t>Медь оксид</t>
  </si>
  <si>
    <t>Олово оксид</t>
  </si>
  <si>
    <t>Свинец и его неорган.соединения</t>
  </si>
  <si>
    <t>Хром/в пересчете на хром оксид</t>
  </si>
  <si>
    <t>Азота (IV) диоксид</t>
  </si>
  <si>
    <t>Азота (II) оксид</t>
  </si>
  <si>
    <t>Серы диоксид</t>
  </si>
  <si>
    <t>Углерод</t>
  </si>
  <si>
    <t>Фтористые газообразные соединения</t>
  </si>
  <si>
    <t>Фториды неорганические плохо растворимые</t>
  </si>
  <si>
    <t>Бутан-1-ол</t>
  </si>
  <si>
    <t>Этанол</t>
  </si>
  <si>
    <t>2-Этоксиэтанол</t>
  </si>
  <si>
    <t>Бутилацетат</t>
  </si>
  <si>
    <t>Пропан-2-он</t>
  </si>
  <si>
    <t>Уайт-спирит</t>
  </si>
  <si>
    <t>Здание Pit-stop</t>
  </si>
  <si>
    <t>Полуподземный гараж</t>
  </si>
  <si>
    <t>Шиномонтажный цех</t>
  </si>
  <si>
    <t>Вахтовый поселек</t>
  </si>
  <si>
    <t>МТЭУ-ВНУ</t>
  </si>
  <si>
    <t>Административно-бытовой корпус (АБК)</t>
  </si>
  <si>
    <t>Емкость V=1000 м3 (дизельное топливо)</t>
  </si>
  <si>
    <t>Топливораздаточная колонка бензина</t>
  </si>
  <si>
    <t>Топливораздаточная колонка диз.топлива</t>
  </si>
  <si>
    <t>Емкость V=75 м3 (бензин)</t>
  </si>
  <si>
    <t>Емкость V=75 м3 (диз.топливо)</t>
  </si>
  <si>
    <t>Склад угля (Шиномонтажный цех)</t>
  </si>
  <si>
    <t>Склад золы (Шиномонтажный цех)</t>
  </si>
  <si>
    <t>Склад угля закрытый (Шиномонтажный цех)</t>
  </si>
  <si>
    <t>Склад угля (Вахтовый поселек)</t>
  </si>
  <si>
    <t>Склад золы (Вахтовый поселек)</t>
  </si>
  <si>
    <t>Склад угля (МТЭУ ВНУ)</t>
  </si>
  <si>
    <t>Склад золы (МТЭУ ВНУ)</t>
  </si>
  <si>
    <t>Породный отвал "Западный"</t>
  </si>
  <si>
    <t>Склад угля (АБК)</t>
  </si>
  <si>
    <t>Склад золы (АБК)</t>
  </si>
  <si>
    <t>Общий склад угля</t>
  </si>
  <si>
    <t>Дробление вмещающей породы</t>
  </si>
  <si>
    <t>Площадка перегрузки вмещающей породы для дробления</t>
  </si>
  <si>
    <t>Площадка перегрузки вмещающей породы после дробления</t>
  </si>
  <si>
    <t>Породный отвал №1</t>
  </si>
  <si>
    <t>Отвал ПРС №1</t>
  </si>
  <si>
    <t>Отвал ПРС №2</t>
  </si>
  <si>
    <t>Отвал ПРС №3</t>
  </si>
  <si>
    <t>АБК (Покрасочные работы)</t>
  </si>
  <si>
    <t>7440-47-3</t>
  </si>
  <si>
    <t>7439-92-1</t>
  </si>
  <si>
    <t>филиала ТОО "Корпорация Казахмыс"</t>
  </si>
  <si>
    <t>ПО "Карагандацветмет"</t>
  </si>
  <si>
    <t>исп.: Дузбаева А. К.</t>
  </si>
  <si>
    <t>т.: 95 71 18</t>
  </si>
  <si>
    <t>green6@kazakhmys.kz</t>
  </si>
  <si>
    <t>50.160605 с.ш.,
72.978312 в.д.</t>
  </si>
  <si>
    <t>Карагандинская область,
г. Караганда, пр. Строителей, 35а</t>
  </si>
  <si>
    <t>Карагандинская</t>
  </si>
  <si>
    <t>Бухар-Жырауский район, промплощадка</t>
  </si>
  <si>
    <t>7440-50-8</t>
  </si>
  <si>
    <t>Марганец и его соединения</t>
  </si>
  <si>
    <t>71-43-2</t>
  </si>
  <si>
    <t>100-41-4</t>
  </si>
  <si>
    <t>108-88-3</t>
  </si>
  <si>
    <t>1330-20-7</t>
  </si>
  <si>
    <t>Данные о сбросах сточных вод в воду за отчетный год</t>
  </si>
  <si>
    <t>Объем, кг/год *</t>
  </si>
  <si>
    <t>стационарный источник</t>
  </si>
  <si>
    <t>сбросов в водные объекты отсутствуют.</t>
  </si>
  <si>
    <t>Нурекин Д. К.</t>
  </si>
  <si>
    <t>2022 год</t>
  </si>
  <si>
    <t>Д. К. Нурекин</t>
  </si>
  <si>
    <t>И.о. генерального директора</t>
  </si>
  <si>
    <t>Выездная траншея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</si>
</sst>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vertAlign val="superscript"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0"/>
      <color theme="1"/>
      <name val="Times New Roman"/>
      <family val="1"/>
      <charset val="204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indexed="81"/>
      <name val="Tahoma"/>
      <charset val="1"/>
    </font>
    <font>
      <sz val="10"/>
      <color indexed="81"/>
      <name val="Tahoma"/>
      <family val="2"/>
      <charset val="204"/>
    </font>
    <font>
      <sz val="11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medium">
        <color rgb="FFCFCFCF"/>
      </right>
      <top/>
      <bottom/>
      <diagonal/>
    </border>
    <border>
      <left/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/>
      <top style="medium">
        <color rgb="FFCFCFCF"/>
      </top>
      <bottom/>
      <diagonal/>
    </border>
    <border>
      <left style="medium">
        <color rgb="FFCFCFCF"/>
      </left>
      <right/>
      <top/>
      <bottom/>
      <diagonal/>
    </border>
    <border>
      <left/>
      <right/>
      <top style="medium">
        <color rgb="FFCFCFC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71">
    <xf numFmtId="0" fontId="0" fillId="0" borderId="0" xfId="0"/>
    <xf numFmtId="0" fontId="3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left" vertical="top" wrapText="1"/>
    </xf>
    <xf numFmtId="0" fontId="6" fillId="0" borderId="7" xfId="0" applyFont="1" applyFill="1" applyBorder="1" applyAlignment="1">
      <alignment horizontal="left" vertical="top" wrapText="1"/>
    </xf>
    <xf numFmtId="0" fontId="1" fillId="0" borderId="7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49" fontId="1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9" fillId="0" borderId="0" xfId="0" applyFont="1"/>
    <xf numFmtId="0" fontId="11" fillId="0" borderId="0" xfId="1" applyFont="1"/>
    <xf numFmtId="0" fontId="0" fillId="0" borderId="0" xfId="0" applyFont="1"/>
    <xf numFmtId="0" fontId="12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top" wrapText="1"/>
    </xf>
    <xf numFmtId="0" fontId="6" fillId="0" borderId="6" xfId="0" applyFont="1" applyBorder="1" applyAlignment="1">
      <alignment vertical="top" wrapText="1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13" fillId="0" borderId="0" xfId="0" applyFont="1"/>
    <xf numFmtId="0" fontId="1" fillId="0" borderId="0" xfId="0" applyFont="1"/>
    <xf numFmtId="0" fontId="13" fillId="0" borderId="0" xfId="0" applyFont="1" applyAlignment="1">
      <alignment horizontal="right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green6@kazakhmys.kz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34"/>
  <sheetViews>
    <sheetView topLeftCell="A13" workbookViewId="0">
      <selection activeCell="E9" sqref="E9"/>
    </sheetView>
  </sheetViews>
  <sheetFormatPr defaultRowHeight="15" x14ac:dyDescent="0.25"/>
  <cols>
    <col min="1" max="1" width="5" style="26" customWidth="1"/>
    <col min="2" max="2" width="54.85546875" style="26" customWidth="1"/>
    <col min="3" max="3" width="46.5703125" style="26" customWidth="1"/>
    <col min="4" max="16384" width="9.140625" style="26"/>
  </cols>
  <sheetData>
    <row r="2" spans="1:3" x14ac:dyDescent="0.25">
      <c r="A2" s="45" t="s">
        <v>2</v>
      </c>
      <c r="B2" s="45"/>
      <c r="C2" s="45"/>
    </row>
    <row r="3" spans="1:3" ht="28.5" x14ac:dyDescent="0.25">
      <c r="A3" s="27" t="s">
        <v>0</v>
      </c>
      <c r="B3" s="27" t="s">
        <v>3</v>
      </c>
      <c r="C3" s="27" t="s">
        <v>4</v>
      </c>
    </row>
    <row r="4" spans="1:3" x14ac:dyDescent="0.25">
      <c r="A4" s="28">
        <v>1</v>
      </c>
      <c r="B4" s="28">
        <v>2</v>
      </c>
      <c r="C4" s="28">
        <v>3</v>
      </c>
    </row>
    <row r="5" spans="1:3" ht="24" customHeight="1" x14ac:dyDescent="0.25">
      <c r="A5" s="21">
        <v>1</v>
      </c>
      <c r="B5" s="29" t="s">
        <v>5</v>
      </c>
      <c r="C5" s="5" t="s">
        <v>62</v>
      </c>
    </row>
    <row r="6" spans="1:3" x14ac:dyDescent="0.25">
      <c r="A6" s="21">
        <v>2</v>
      </c>
      <c r="B6" s="29" t="s">
        <v>6</v>
      </c>
      <c r="C6" s="14" t="s">
        <v>63</v>
      </c>
    </row>
    <row r="7" spans="1:3" ht="30.75" customHeight="1" x14ac:dyDescent="0.25">
      <c r="A7" s="21">
        <v>3</v>
      </c>
      <c r="B7" s="29" t="s">
        <v>7</v>
      </c>
      <c r="C7" s="5" t="s">
        <v>124</v>
      </c>
    </row>
    <row r="8" spans="1:3" x14ac:dyDescent="0.25">
      <c r="A8" s="21">
        <v>4</v>
      </c>
      <c r="B8" s="29" t="s">
        <v>8</v>
      </c>
      <c r="C8" s="5" t="s">
        <v>137</v>
      </c>
    </row>
    <row r="9" spans="1:3" ht="65.25" customHeight="1" x14ac:dyDescent="0.25">
      <c r="A9" s="21">
        <v>5</v>
      </c>
      <c r="B9" s="29" t="s">
        <v>9</v>
      </c>
      <c r="C9" s="37" t="s">
        <v>46</v>
      </c>
    </row>
    <row r="10" spans="1:3" x14ac:dyDescent="0.25">
      <c r="A10" s="21">
        <v>6</v>
      </c>
      <c r="B10" s="29" t="s">
        <v>10</v>
      </c>
      <c r="C10" s="5" t="s">
        <v>138</v>
      </c>
    </row>
    <row r="11" spans="1:3" ht="29.25" customHeight="1" x14ac:dyDescent="0.25">
      <c r="A11" s="21">
        <v>7</v>
      </c>
      <c r="B11" s="29" t="s">
        <v>11</v>
      </c>
      <c r="C11" s="5" t="s">
        <v>46</v>
      </c>
    </row>
    <row r="12" spans="1:3" x14ac:dyDescent="0.25">
      <c r="A12" s="21">
        <v>8</v>
      </c>
      <c r="B12" s="29" t="s">
        <v>12</v>
      </c>
      <c r="C12" s="5" t="s">
        <v>126</v>
      </c>
    </row>
    <row r="13" spans="1:3" ht="23.25" customHeight="1" x14ac:dyDescent="0.25">
      <c r="A13" s="21" t="s">
        <v>13</v>
      </c>
      <c r="B13" s="29" t="s">
        <v>14</v>
      </c>
      <c r="C13" s="5" t="s">
        <v>125</v>
      </c>
    </row>
    <row r="14" spans="1:3" ht="22.5" customHeight="1" x14ac:dyDescent="0.25">
      <c r="A14" s="21" t="s">
        <v>15</v>
      </c>
      <c r="B14" s="29" t="s">
        <v>16</v>
      </c>
      <c r="C14" s="5" t="s">
        <v>46</v>
      </c>
    </row>
    <row r="15" spans="1:3" ht="24" customHeight="1" x14ac:dyDescent="0.25">
      <c r="A15" s="21" t="s">
        <v>17</v>
      </c>
      <c r="B15" s="29" t="s">
        <v>18</v>
      </c>
      <c r="C15" s="5" t="s">
        <v>46</v>
      </c>
    </row>
    <row r="16" spans="1:3" ht="23.25" customHeight="1" x14ac:dyDescent="0.25">
      <c r="A16" s="21" t="s">
        <v>19</v>
      </c>
      <c r="B16" s="29" t="s">
        <v>20</v>
      </c>
      <c r="C16" s="5" t="s">
        <v>46</v>
      </c>
    </row>
    <row r="17" spans="1:3" ht="45.75" customHeight="1" x14ac:dyDescent="0.25">
      <c r="A17" s="21">
        <v>9</v>
      </c>
      <c r="B17" s="30" t="s">
        <v>21</v>
      </c>
      <c r="C17" s="37" t="s">
        <v>123</v>
      </c>
    </row>
    <row r="18" spans="1:3" ht="30" x14ac:dyDescent="0.25">
      <c r="A18" s="21">
        <v>10</v>
      </c>
      <c r="B18" s="30" t="s">
        <v>22</v>
      </c>
      <c r="C18" s="38"/>
    </row>
    <row r="19" spans="1:3" ht="15.75" thickBot="1" x14ac:dyDescent="0.3">
      <c r="A19" s="31"/>
      <c r="B19" s="32"/>
      <c r="C19" s="9"/>
    </row>
    <row r="20" spans="1:3" ht="17.25" customHeight="1" x14ac:dyDescent="0.25">
      <c r="A20" s="42" t="s">
        <v>23</v>
      </c>
      <c r="B20" s="43"/>
      <c r="C20" s="44"/>
    </row>
    <row r="21" spans="1:3" ht="28.5" x14ac:dyDescent="0.25">
      <c r="A21" s="27" t="s">
        <v>0</v>
      </c>
      <c r="B21" s="27" t="s">
        <v>3</v>
      </c>
      <c r="C21" s="27" t="s">
        <v>4</v>
      </c>
    </row>
    <row r="22" spans="1:3" x14ac:dyDescent="0.25">
      <c r="A22" s="28">
        <v>1</v>
      </c>
      <c r="B22" s="28">
        <v>2</v>
      </c>
      <c r="C22" s="28">
        <v>3</v>
      </c>
    </row>
    <row r="23" spans="1:3" ht="30" x14ac:dyDescent="0.25">
      <c r="A23" s="21">
        <v>1</v>
      </c>
      <c r="B23" s="33" t="s">
        <v>24</v>
      </c>
      <c r="C23" s="5" t="s">
        <v>64</v>
      </c>
    </row>
    <row r="24" spans="1:3" ht="30" x14ac:dyDescent="0.25">
      <c r="A24" s="21">
        <v>2</v>
      </c>
      <c r="B24" s="33" t="s">
        <v>25</v>
      </c>
      <c r="C24" s="5" t="s">
        <v>65</v>
      </c>
    </row>
    <row r="27" spans="1:3" x14ac:dyDescent="0.25">
      <c r="B27" s="34" t="s">
        <v>140</v>
      </c>
      <c r="C27" s="35"/>
    </row>
    <row r="28" spans="1:3" x14ac:dyDescent="0.25">
      <c r="B28" s="34" t="s">
        <v>118</v>
      </c>
      <c r="C28" s="35"/>
    </row>
    <row r="29" spans="1:3" x14ac:dyDescent="0.25">
      <c r="B29" s="34" t="s">
        <v>119</v>
      </c>
      <c r="C29" s="36" t="s">
        <v>139</v>
      </c>
    </row>
    <row r="30" spans="1:3" x14ac:dyDescent="0.25">
      <c r="B30" s="35"/>
      <c r="C30" s="35"/>
    </row>
    <row r="31" spans="1:3" x14ac:dyDescent="0.25">
      <c r="B31" s="35"/>
      <c r="C31" s="35"/>
    </row>
    <row r="32" spans="1:3" x14ac:dyDescent="0.25">
      <c r="B32" s="24" t="s">
        <v>120</v>
      </c>
      <c r="C32" s="35"/>
    </row>
    <row r="33" spans="2:3" x14ac:dyDescent="0.25">
      <c r="B33" s="24" t="s">
        <v>121</v>
      </c>
      <c r="C33" s="35"/>
    </row>
    <row r="34" spans="2:3" x14ac:dyDescent="0.25">
      <c r="B34" s="25" t="s">
        <v>122</v>
      </c>
      <c r="C34" s="35"/>
    </row>
  </sheetData>
  <mergeCells count="2">
    <mergeCell ref="A20:C20"/>
    <mergeCell ref="A2:C2"/>
  </mergeCells>
  <hyperlinks>
    <hyperlink ref="B3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2:BT39"/>
  <sheetViews>
    <sheetView view="pageBreakPreview" zoomScale="60" zoomScaleNormal="78" workbookViewId="0">
      <pane xSplit="5" ySplit="6" topLeftCell="F7" activePane="bottomRight" state="frozen"/>
      <selection pane="topRight" activeCell="F1" sqref="F1"/>
      <selection pane="bottomLeft" activeCell="A7" sqref="A7"/>
      <selection pane="bottomRight" activeCell="BY24" sqref="BY24"/>
    </sheetView>
  </sheetViews>
  <sheetFormatPr defaultRowHeight="15" x14ac:dyDescent="0.25"/>
  <cols>
    <col min="1" max="1" width="9.140625" style="2"/>
    <col min="2" max="2" width="11.28515625" style="2" customWidth="1"/>
    <col min="3" max="3" width="14.7109375" style="2" customWidth="1"/>
    <col min="4" max="4" width="14.85546875" style="2" customWidth="1"/>
    <col min="5" max="5" width="22.42578125" style="2" customWidth="1"/>
    <col min="6" max="6" width="12.7109375" style="2" customWidth="1"/>
    <col min="7" max="7" width="13.140625" style="2" customWidth="1"/>
    <col min="8" max="8" width="12.42578125" style="2" customWidth="1"/>
    <col min="9" max="9" width="11.42578125" style="2" customWidth="1"/>
    <col min="10" max="10" width="10.5703125" style="2" customWidth="1"/>
    <col min="11" max="71" width="12.140625" style="2" customWidth="1"/>
    <col min="72" max="72" width="32.85546875" style="2" customWidth="1"/>
    <col min="73" max="16384" width="9.140625" style="2"/>
  </cols>
  <sheetData>
    <row r="2" spans="2:72" ht="19.5" customHeight="1" x14ac:dyDescent="0.25">
      <c r="B2" s="52" t="s">
        <v>26</v>
      </c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3"/>
      <c r="AH2" s="53"/>
      <c r="AI2" s="53"/>
      <c r="AJ2" s="53"/>
      <c r="AK2" s="53"/>
      <c r="AL2" s="53"/>
      <c r="AM2" s="53"/>
      <c r="AN2" s="53"/>
      <c r="AO2" s="53"/>
      <c r="AP2" s="53"/>
      <c r="AQ2" s="53"/>
      <c r="AR2" s="53"/>
      <c r="AS2" s="53"/>
      <c r="AT2" s="53"/>
      <c r="AU2" s="53"/>
      <c r="AV2" s="53"/>
      <c r="AW2" s="53"/>
      <c r="AX2" s="53"/>
      <c r="AY2" s="53"/>
      <c r="AZ2" s="53"/>
      <c r="BA2" s="53"/>
      <c r="BB2" s="53"/>
      <c r="BC2" s="53"/>
      <c r="BD2" s="53"/>
      <c r="BE2" s="53"/>
      <c r="BF2" s="53"/>
      <c r="BG2" s="53"/>
      <c r="BH2" s="53"/>
      <c r="BI2" s="53"/>
      <c r="BJ2" s="53"/>
      <c r="BK2" s="53"/>
      <c r="BL2" s="53"/>
      <c r="BM2" s="53"/>
      <c r="BN2" s="53"/>
      <c r="BO2" s="53"/>
      <c r="BP2" s="53"/>
      <c r="BQ2" s="53"/>
      <c r="BR2" s="53"/>
      <c r="BS2" s="53"/>
      <c r="BT2" s="54"/>
    </row>
    <row r="3" spans="2:72" ht="13.5" customHeight="1" x14ac:dyDescent="0.2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3"/>
      <c r="AK3" s="53"/>
      <c r="AL3" s="53"/>
      <c r="AM3" s="53"/>
      <c r="AN3" s="53"/>
      <c r="AO3" s="53"/>
      <c r="AP3" s="53"/>
      <c r="AQ3" s="53"/>
      <c r="AR3" s="53"/>
      <c r="AS3" s="53"/>
      <c r="AT3" s="53"/>
      <c r="AU3" s="53"/>
      <c r="AV3" s="53"/>
      <c r="AW3" s="53"/>
      <c r="AX3" s="53"/>
      <c r="AY3" s="53"/>
      <c r="AZ3" s="53"/>
      <c r="BA3" s="53"/>
      <c r="BB3" s="53"/>
      <c r="BC3" s="53"/>
      <c r="BD3" s="53"/>
      <c r="BE3" s="53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</row>
    <row r="4" spans="2:72" ht="26.25" customHeight="1" x14ac:dyDescent="0.25">
      <c r="B4" s="55" t="s">
        <v>0</v>
      </c>
      <c r="C4" s="55" t="s">
        <v>27</v>
      </c>
      <c r="D4" s="55" t="s">
        <v>28</v>
      </c>
      <c r="E4" s="55" t="s">
        <v>29</v>
      </c>
      <c r="F4" s="46" t="s">
        <v>30</v>
      </c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7"/>
      <c r="S4" s="47"/>
      <c r="T4" s="47"/>
      <c r="U4" s="47"/>
      <c r="V4" s="47"/>
      <c r="W4" s="47"/>
      <c r="X4" s="47"/>
      <c r="Y4" s="47"/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48"/>
      <c r="BT4" s="57" t="s">
        <v>31</v>
      </c>
    </row>
    <row r="5" spans="2:72" ht="36.75" customHeight="1" x14ac:dyDescent="0.25">
      <c r="B5" s="55"/>
      <c r="C5" s="55"/>
      <c r="D5" s="55"/>
      <c r="E5" s="55"/>
      <c r="F5" s="51" t="s">
        <v>68</v>
      </c>
      <c r="G5" s="51"/>
      <c r="H5" s="51" t="s">
        <v>86</v>
      </c>
      <c r="I5" s="51"/>
      <c r="J5" s="51" t="s">
        <v>87</v>
      </c>
      <c r="K5" s="51"/>
      <c r="L5" s="51" t="s">
        <v>92</v>
      </c>
      <c r="M5" s="51"/>
      <c r="N5" s="51" t="s">
        <v>92</v>
      </c>
      <c r="O5" s="51"/>
      <c r="P5" s="51" t="s">
        <v>93</v>
      </c>
      <c r="Q5" s="51"/>
      <c r="R5" s="51" t="s">
        <v>94</v>
      </c>
      <c r="S5" s="51"/>
      <c r="T5" s="51" t="s">
        <v>95</v>
      </c>
      <c r="U5" s="51"/>
      <c r="V5" s="51" t="s">
        <v>96</v>
      </c>
      <c r="W5" s="51"/>
      <c r="X5" s="51" t="s">
        <v>88</v>
      </c>
      <c r="Y5" s="51"/>
      <c r="Z5" s="51" t="s">
        <v>89</v>
      </c>
      <c r="AA5" s="51"/>
      <c r="AB5" s="51" t="s">
        <v>90</v>
      </c>
      <c r="AC5" s="51"/>
      <c r="AD5" s="51" t="s">
        <v>91</v>
      </c>
      <c r="AE5" s="51"/>
      <c r="AF5" s="51" t="s">
        <v>97</v>
      </c>
      <c r="AG5" s="51"/>
      <c r="AH5" s="51" t="s">
        <v>98</v>
      </c>
      <c r="AI5" s="51"/>
      <c r="AJ5" s="51" t="s">
        <v>99</v>
      </c>
      <c r="AK5" s="51"/>
      <c r="AL5" s="51" t="s">
        <v>100</v>
      </c>
      <c r="AM5" s="51"/>
      <c r="AN5" s="51" t="s">
        <v>101</v>
      </c>
      <c r="AO5" s="51"/>
      <c r="AP5" s="51" t="s">
        <v>102</v>
      </c>
      <c r="AQ5" s="51"/>
      <c r="AR5" s="51" t="s">
        <v>103</v>
      </c>
      <c r="AS5" s="51"/>
      <c r="AT5" s="51" t="s">
        <v>104</v>
      </c>
      <c r="AU5" s="51"/>
      <c r="AV5" s="51" t="s">
        <v>105</v>
      </c>
      <c r="AW5" s="51"/>
      <c r="AX5" s="51" t="s">
        <v>106</v>
      </c>
      <c r="AY5" s="51"/>
      <c r="AZ5" s="51" t="s">
        <v>107</v>
      </c>
      <c r="BA5" s="51"/>
      <c r="BB5" s="51" t="s">
        <v>108</v>
      </c>
      <c r="BC5" s="51"/>
      <c r="BD5" s="51" t="s">
        <v>109</v>
      </c>
      <c r="BE5" s="51"/>
      <c r="BF5" s="51" t="s">
        <v>110</v>
      </c>
      <c r="BG5" s="51"/>
      <c r="BH5" s="49" t="s">
        <v>111</v>
      </c>
      <c r="BI5" s="50"/>
      <c r="BJ5" s="49" t="s">
        <v>112</v>
      </c>
      <c r="BK5" s="50"/>
      <c r="BL5" s="49" t="s">
        <v>113</v>
      </c>
      <c r="BM5" s="50"/>
      <c r="BN5" s="49" t="s">
        <v>114</v>
      </c>
      <c r="BO5" s="50"/>
      <c r="BP5" s="49" t="s">
        <v>115</v>
      </c>
      <c r="BQ5" s="50"/>
      <c r="BR5" s="49" t="s">
        <v>141</v>
      </c>
      <c r="BS5" s="50"/>
      <c r="BT5" s="58"/>
    </row>
    <row r="6" spans="2:72" ht="30.75" customHeight="1" x14ac:dyDescent="0.25">
      <c r="B6" s="55"/>
      <c r="C6" s="55"/>
      <c r="D6" s="55"/>
      <c r="E6" s="55"/>
      <c r="F6" s="3" t="s">
        <v>32</v>
      </c>
      <c r="G6" s="3" t="s">
        <v>33</v>
      </c>
      <c r="H6" s="3" t="s">
        <v>32</v>
      </c>
      <c r="I6" s="3" t="s">
        <v>33</v>
      </c>
      <c r="J6" s="3" t="s">
        <v>32</v>
      </c>
      <c r="K6" s="3" t="s">
        <v>33</v>
      </c>
      <c r="L6" s="18" t="s">
        <v>32</v>
      </c>
      <c r="M6" s="18" t="s">
        <v>33</v>
      </c>
      <c r="N6" s="18" t="s">
        <v>32</v>
      </c>
      <c r="O6" s="18" t="s">
        <v>33</v>
      </c>
      <c r="P6" s="18" t="s">
        <v>32</v>
      </c>
      <c r="Q6" s="18" t="s">
        <v>33</v>
      </c>
      <c r="R6" s="18" t="s">
        <v>32</v>
      </c>
      <c r="S6" s="18" t="s">
        <v>33</v>
      </c>
      <c r="T6" s="18" t="s">
        <v>32</v>
      </c>
      <c r="U6" s="18" t="s">
        <v>33</v>
      </c>
      <c r="V6" s="18" t="s">
        <v>32</v>
      </c>
      <c r="W6" s="18" t="s">
        <v>33</v>
      </c>
      <c r="X6" s="18" t="s">
        <v>32</v>
      </c>
      <c r="Y6" s="18" t="s">
        <v>33</v>
      </c>
      <c r="Z6" s="18" t="s">
        <v>32</v>
      </c>
      <c r="AA6" s="18" t="s">
        <v>33</v>
      </c>
      <c r="AB6" s="18" t="s">
        <v>32</v>
      </c>
      <c r="AC6" s="18" t="s">
        <v>33</v>
      </c>
      <c r="AD6" s="18" t="s">
        <v>32</v>
      </c>
      <c r="AE6" s="18" t="s">
        <v>33</v>
      </c>
      <c r="AF6" s="22" t="s">
        <v>32</v>
      </c>
      <c r="AG6" s="22" t="s">
        <v>33</v>
      </c>
      <c r="AH6" s="23" t="s">
        <v>32</v>
      </c>
      <c r="AI6" s="23" t="s">
        <v>33</v>
      </c>
      <c r="AJ6" s="22" t="s">
        <v>32</v>
      </c>
      <c r="AK6" s="22" t="s">
        <v>33</v>
      </c>
      <c r="AL6" s="23" t="s">
        <v>32</v>
      </c>
      <c r="AM6" s="23" t="s">
        <v>33</v>
      </c>
      <c r="AN6" s="23" t="s">
        <v>32</v>
      </c>
      <c r="AO6" s="23" t="s">
        <v>33</v>
      </c>
      <c r="AP6" s="23" t="s">
        <v>32</v>
      </c>
      <c r="AQ6" s="23" t="s">
        <v>33</v>
      </c>
      <c r="AR6" s="23" t="s">
        <v>32</v>
      </c>
      <c r="AS6" s="23" t="s">
        <v>33</v>
      </c>
      <c r="AT6" s="23" t="s">
        <v>32</v>
      </c>
      <c r="AU6" s="23" t="s">
        <v>33</v>
      </c>
      <c r="AV6" s="23" t="s">
        <v>32</v>
      </c>
      <c r="AW6" s="23" t="s">
        <v>33</v>
      </c>
      <c r="AX6" s="23" t="s">
        <v>32</v>
      </c>
      <c r="AY6" s="23" t="s">
        <v>33</v>
      </c>
      <c r="AZ6" s="23" t="s">
        <v>32</v>
      </c>
      <c r="BA6" s="23" t="s">
        <v>33</v>
      </c>
      <c r="BB6" s="23" t="s">
        <v>32</v>
      </c>
      <c r="BC6" s="23" t="s">
        <v>33</v>
      </c>
      <c r="BD6" s="23" t="s">
        <v>32</v>
      </c>
      <c r="BE6" s="23" t="s">
        <v>33</v>
      </c>
      <c r="BF6" s="23" t="s">
        <v>32</v>
      </c>
      <c r="BG6" s="23" t="s">
        <v>33</v>
      </c>
      <c r="BH6" s="23" t="s">
        <v>32</v>
      </c>
      <c r="BI6" s="23" t="s">
        <v>33</v>
      </c>
      <c r="BJ6" s="23" t="s">
        <v>32</v>
      </c>
      <c r="BK6" s="23" t="s">
        <v>33</v>
      </c>
      <c r="BL6" s="23" t="s">
        <v>32</v>
      </c>
      <c r="BM6" s="23" t="s">
        <v>33</v>
      </c>
      <c r="BN6" s="23" t="s">
        <v>32</v>
      </c>
      <c r="BO6" s="23" t="s">
        <v>33</v>
      </c>
      <c r="BP6" s="23" t="s">
        <v>32</v>
      </c>
      <c r="BQ6" s="23" t="s">
        <v>33</v>
      </c>
      <c r="BR6" s="41" t="s">
        <v>32</v>
      </c>
      <c r="BS6" s="41" t="s">
        <v>33</v>
      </c>
      <c r="BT6" s="59"/>
    </row>
    <row r="7" spans="2:72" x14ac:dyDescent="0.25">
      <c r="B7" s="10">
        <v>1</v>
      </c>
      <c r="C7" s="10">
        <v>2</v>
      </c>
      <c r="D7" s="10">
        <v>3</v>
      </c>
      <c r="E7" s="10">
        <v>4</v>
      </c>
      <c r="F7" s="10">
        <v>5</v>
      </c>
      <c r="G7" s="10">
        <v>6</v>
      </c>
      <c r="H7" s="10">
        <v>7</v>
      </c>
      <c r="I7" s="10">
        <v>8</v>
      </c>
      <c r="J7" s="10">
        <v>9</v>
      </c>
      <c r="K7" s="10">
        <v>10</v>
      </c>
      <c r="L7" s="18">
        <v>11</v>
      </c>
      <c r="M7" s="18">
        <v>12</v>
      </c>
      <c r="N7" s="18">
        <v>13</v>
      </c>
      <c r="O7" s="18">
        <v>14</v>
      </c>
      <c r="P7" s="18">
        <v>15</v>
      </c>
      <c r="Q7" s="18">
        <v>16</v>
      </c>
      <c r="R7" s="18">
        <v>17</v>
      </c>
      <c r="S7" s="18">
        <v>18</v>
      </c>
      <c r="T7" s="18">
        <v>19</v>
      </c>
      <c r="U7" s="18">
        <v>20</v>
      </c>
      <c r="V7" s="18">
        <v>21</v>
      </c>
      <c r="W7" s="18">
        <v>22</v>
      </c>
      <c r="X7" s="18">
        <v>23</v>
      </c>
      <c r="Y7" s="18">
        <v>24</v>
      </c>
      <c r="Z7" s="18">
        <v>25</v>
      </c>
      <c r="AA7" s="18">
        <v>26</v>
      </c>
      <c r="AB7" s="18">
        <v>27</v>
      </c>
      <c r="AC7" s="18">
        <v>28</v>
      </c>
      <c r="AD7" s="18">
        <v>29</v>
      </c>
      <c r="AE7" s="18">
        <v>30</v>
      </c>
      <c r="AF7" s="22">
        <v>31</v>
      </c>
      <c r="AG7" s="22">
        <v>32</v>
      </c>
      <c r="AH7" s="23">
        <v>33</v>
      </c>
      <c r="AI7" s="23">
        <v>34</v>
      </c>
      <c r="AJ7" s="22">
        <v>35</v>
      </c>
      <c r="AK7" s="22">
        <v>36</v>
      </c>
      <c r="AL7" s="23">
        <v>37</v>
      </c>
      <c r="AM7" s="23">
        <v>38</v>
      </c>
      <c r="AN7" s="23">
        <v>39</v>
      </c>
      <c r="AO7" s="23">
        <v>40</v>
      </c>
      <c r="AP7" s="23">
        <v>41</v>
      </c>
      <c r="AQ7" s="23">
        <v>42</v>
      </c>
      <c r="AR7" s="23">
        <v>43</v>
      </c>
      <c r="AS7" s="23">
        <v>44</v>
      </c>
      <c r="AT7" s="23">
        <v>45</v>
      </c>
      <c r="AU7" s="23">
        <v>46</v>
      </c>
      <c r="AV7" s="23">
        <v>47</v>
      </c>
      <c r="AW7" s="23">
        <v>48</v>
      </c>
      <c r="AX7" s="23">
        <v>49</v>
      </c>
      <c r="AY7" s="23">
        <v>50</v>
      </c>
      <c r="AZ7" s="23">
        <v>51</v>
      </c>
      <c r="BA7" s="23">
        <v>52</v>
      </c>
      <c r="BB7" s="23">
        <v>53</v>
      </c>
      <c r="BC7" s="23">
        <v>54</v>
      </c>
      <c r="BD7" s="23">
        <v>55</v>
      </c>
      <c r="BE7" s="23">
        <v>56</v>
      </c>
      <c r="BF7" s="23">
        <v>57</v>
      </c>
      <c r="BG7" s="23">
        <v>58</v>
      </c>
      <c r="BH7" s="23">
        <v>59</v>
      </c>
      <c r="BI7" s="23">
        <v>60</v>
      </c>
      <c r="BJ7" s="23">
        <v>61</v>
      </c>
      <c r="BK7" s="23">
        <v>62</v>
      </c>
      <c r="BL7" s="23">
        <v>63</v>
      </c>
      <c r="BM7" s="23">
        <v>64</v>
      </c>
      <c r="BN7" s="23">
        <v>65</v>
      </c>
      <c r="BO7" s="23">
        <v>66</v>
      </c>
      <c r="BP7" s="23">
        <v>67</v>
      </c>
      <c r="BQ7" s="23">
        <v>68</v>
      </c>
      <c r="BR7" s="40">
        <v>69</v>
      </c>
      <c r="BS7" s="40">
        <v>70</v>
      </c>
      <c r="BT7" s="10">
        <v>71</v>
      </c>
    </row>
    <row r="8" spans="2:72" hidden="1" x14ac:dyDescent="0.25">
      <c r="B8" s="18"/>
      <c r="C8" s="18"/>
      <c r="D8" s="18"/>
      <c r="E8" s="20" t="s">
        <v>69</v>
      </c>
      <c r="F8" s="20">
        <f>0.0000578*1000</f>
        <v>5.7800000000000004E-2</v>
      </c>
      <c r="G8" s="21">
        <v>0</v>
      </c>
      <c r="H8" s="21">
        <f>0.0000578*1000</f>
        <v>5.7800000000000004E-2</v>
      </c>
      <c r="I8" s="21">
        <v>0</v>
      </c>
      <c r="J8" s="21"/>
      <c r="K8" s="21">
        <v>0</v>
      </c>
      <c r="L8" s="21"/>
      <c r="M8" s="21">
        <v>0</v>
      </c>
      <c r="N8" s="21"/>
      <c r="O8" s="21">
        <v>0</v>
      </c>
      <c r="P8" s="21"/>
      <c r="Q8" s="21">
        <v>0</v>
      </c>
      <c r="R8" s="21"/>
      <c r="S8" s="21">
        <v>0</v>
      </c>
      <c r="T8" s="21"/>
      <c r="U8" s="21">
        <v>0</v>
      </c>
      <c r="V8" s="21"/>
      <c r="W8" s="21">
        <v>0</v>
      </c>
      <c r="X8" s="21"/>
      <c r="Y8" s="21">
        <v>0</v>
      </c>
      <c r="Z8" s="21"/>
      <c r="AA8" s="21">
        <v>0</v>
      </c>
      <c r="AB8" s="21"/>
      <c r="AC8" s="21">
        <v>0</v>
      </c>
      <c r="AD8" s="21"/>
      <c r="AE8" s="21">
        <v>0</v>
      </c>
      <c r="AF8" s="21"/>
      <c r="AG8" s="21">
        <v>0</v>
      </c>
      <c r="AH8" s="21"/>
      <c r="AI8" s="21">
        <v>0</v>
      </c>
      <c r="AJ8" s="21"/>
      <c r="AK8" s="21">
        <v>0</v>
      </c>
      <c r="AL8" s="21"/>
      <c r="AM8" s="21">
        <v>0</v>
      </c>
      <c r="AN8" s="21"/>
      <c r="AO8" s="21">
        <v>0</v>
      </c>
      <c r="AP8" s="21"/>
      <c r="AQ8" s="21">
        <v>0</v>
      </c>
      <c r="AR8" s="21"/>
      <c r="AS8" s="21">
        <v>0</v>
      </c>
      <c r="AT8" s="21"/>
      <c r="AU8" s="21">
        <v>0</v>
      </c>
      <c r="AV8" s="21"/>
      <c r="AW8" s="21">
        <v>0</v>
      </c>
      <c r="AX8" s="21"/>
      <c r="AY8" s="21">
        <v>0</v>
      </c>
      <c r="AZ8" s="21"/>
      <c r="BA8" s="21">
        <v>0</v>
      </c>
      <c r="BB8" s="21"/>
      <c r="BC8" s="21">
        <v>0</v>
      </c>
      <c r="BD8" s="21"/>
      <c r="BE8" s="21">
        <v>0</v>
      </c>
      <c r="BF8" s="21"/>
      <c r="BG8" s="21">
        <v>0</v>
      </c>
      <c r="BH8" s="21"/>
      <c r="BI8" s="21">
        <v>0</v>
      </c>
      <c r="BJ8" s="21"/>
      <c r="BK8" s="21">
        <v>0</v>
      </c>
      <c r="BL8" s="21"/>
      <c r="BM8" s="21">
        <v>0</v>
      </c>
      <c r="BN8" s="21"/>
      <c r="BO8" s="21">
        <v>0</v>
      </c>
      <c r="BP8" s="21"/>
      <c r="BQ8" s="21">
        <v>0</v>
      </c>
      <c r="BR8" s="21"/>
      <c r="BS8" s="21"/>
      <c r="BT8" s="7" t="s">
        <v>61</v>
      </c>
    </row>
    <row r="9" spans="2:72" hidden="1" x14ac:dyDescent="0.25">
      <c r="B9" s="8"/>
      <c r="C9" s="4"/>
      <c r="D9" s="4"/>
      <c r="E9" s="11" t="s">
        <v>48</v>
      </c>
      <c r="F9" s="13">
        <f>0.110368*1000</f>
        <v>110.36799999999999</v>
      </c>
      <c r="G9" s="21">
        <v>0</v>
      </c>
      <c r="H9" s="7">
        <f>0.065491*1000</f>
        <v>65.491</v>
      </c>
      <c r="I9" s="7">
        <v>0</v>
      </c>
      <c r="J9" s="7"/>
      <c r="K9" s="7">
        <v>0</v>
      </c>
      <c r="L9" s="7"/>
      <c r="M9" s="21">
        <v>0</v>
      </c>
      <c r="N9" s="7"/>
      <c r="O9" s="21">
        <v>0</v>
      </c>
      <c r="P9" s="21"/>
      <c r="Q9" s="21">
        <v>0</v>
      </c>
      <c r="R9" s="21"/>
      <c r="S9" s="21">
        <v>0</v>
      </c>
      <c r="T9" s="21"/>
      <c r="U9" s="21">
        <v>0</v>
      </c>
      <c r="V9" s="21"/>
      <c r="W9" s="21">
        <v>0</v>
      </c>
      <c r="X9" s="7"/>
      <c r="Y9" s="21">
        <v>0</v>
      </c>
      <c r="Z9" s="7"/>
      <c r="AA9" s="21">
        <v>0</v>
      </c>
      <c r="AB9" s="7"/>
      <c r="AC9" s="21">
        <v>0</v>
      </c>
      <c r="AD9" s="7"/>
      <c r="AE9" s="21">
        <v>0</v>
      </c>
      <c r="AF9" s="21"/>
      <c r="AG9" s="21">
        <v>0</v>
      </c>
      <c r="AH9" s="21"/>
      <c r="AI9" s="21">
        <v>0</v>
      </c>
      <c r="AJ9" s="21"/>
      <c r="AK9" s="21">
        <v>0</v>
      </c>
      <c r="AL9" s="21"/>
      <c r="AM9" s="21"/>
      <c r="AN9" s="21"/>
      <c r="AO9" s="21"/>
      <c r="AP9" s="21"/>
      <c r="AQ9" s="21">
        <v>0</v>
      </c>
      <c r="AR9" s="21"/>
      <c r="AS9" s="21">
        <v>0</v>
      </c>
      <c r="AT9" s="21"/>
      <c r="AU9" s="21">
        <v>0</v>
      </c>
      <c r="AV9" s="21"/>
      <c r="AW9" s="21">
        <v>0</v>
      </c>
      <c r="AX9" s="21"/>
      <c r="AY9" s="21">
        <v>0</v>
      </c>
      <c r="AZ9" s="21"/>
      <c r="BA9" s="21">
        <v>0</v>
      </c>
      <c r="BB9" s="21"/>
      <c r="BC9" s="21">
        <v>0</v>
      </c>
      <c r="BD9" s="21"/>
      <c r="BE9" s="21">
        <v>0</v>
      </c>
      <c r="BF9" s="21"/>
      <c r="BG9" s="21"/>
      <c r="BH9" s="21"/>
      <c r="BI9" s="21">
        <v>0</v>
      </c>
      <c r="BJ9" s="21"/>
      <c r="BK9" s="21">
        <v>0</v>
      </c>
      <c r="BL9" s="21"/>
      <c r="BM9" s="21">
        <v>0</v>
      </c>
      <c r="BN9" s="21"/>
      <c r="BO9" s="21">
        <v>0</v>
      </c>
      <c r="BP9" s="21"/>
      <c r="BQ9" s="21">
        <v>0</v>
      </c>
      <c r="BR9" s="21"/>
      <c r="BS9" s="21"/>
      <c r="BT9" s="7" t="s">
        <v>61</v>
      </c>
    </row>
    <row r="10" spans="2:72" ht="31.5" hidden="1" customHeight="1" x14ac:dyDescent="0.25">
      <c r="B10" s="8"/>
      <c r="C10" s="4"/>
      <c r="D10" s="4"/>
      <c r="E10" s="11" t="s">
        <v>128</v>
      </c>
      <c r="F10" s="13">
        <f>0.0099369*1000</f>
        <v>9.9368999999999996</v>
      </c>
      <c r="G10" s="21">
        <v>0</v>
      </c>
      <c r="H10" s="7">
        <f>0.0078685*1000</f>
        <v>7.8685000000000009</v>
      </c>
      <c r="I10" s="7">
        <v>0</v>
      </c>
      <c r="J10" s="7"/>
      <c r="K10" s="7">
        <v>0</v>
      </c>
      <c r="L10" s="7"/>
      <c r="M10" s="21">
        <v>0</v>
      </c>
      <c r="N10" s="7"/>
      <c r="O10" s="21">
        <v>0</v>
      </c>
      <c r="P10" s="21"/>
      <c r="Q10" s="21">
        <v>0</v>
      </c>
      <c r="R10" s="21"/>
      <c r="S10" s="21">
        <v>0</v>
      </c>
      <c r="T10" s="21"/>
      <c r="U10" s="21">
        <v>0</v>
      </c>
      <c r="V10" s="21"/>
      <c r="W10" s="21">
        <v>0</v>
      </c>
      <c r="X10" s="7"/>
      <c r="Y10" s="21">
        <v>0</v>
      </c>
      <c r="Z10" s="7"/>
      <c r="AA10" s="21">
        <v>0</v>
      </c>
      <c r="AB10" s="7"/>
      <c r="AC10" s="21">
        <v>0</v>
      </c>
      <c r="AD10" s="7"/>
      <c r="AE10" s="21">
        <v>0</v>
      </c>
      <c r="AF10" s="21"/>
      <c r="AG10" s="21">
        <v>0</v>
      </c>
      <c r="AH10" s="21"/>
      <c r="AI10" s="21">
        <v>0</v>
      </c>
      <c r="AJ10" s="21"/>
      <c r="AK10" s="21">
        <v>0</v>
      </c>
      <c r="AL10" s="21"/>
      <c r="AM10" s="21">
        <v>0</v>
      </c>
      <c r="AN10" s="21"/>
      <c r="AO10" s="21">
        <v>0</v>
      </c>
      <c r="AP10" s="21"/>
      <c r="AQ10" s="21">
        <v>0</v>
      </c>
      <c r="AR10" s="21"/>
      <c r="AS10" s="21">
        <v>0</v>
      </c>
      <c r="AT10" s="21"/>
      <c r="AU10" s="21">
        <v>0</v>
      </c>
      <c r="AV10" s="21"/>
      <c r="AW10" s="21">
        <v>0</v>
      </c>
      <c r="AX10" s="21"/>
      <c r="AY10" s="21">
        <v>0</v>
      </c>
      <c r="AZ10" s="21"/>
      <c r="BA10" s="21">
        <v>0</v>
      </c>
      <c r="BB10" s="21"/>
      <c r="BC10" s="21">
        <v>0</v>
      </c>
      <c r="BD10" s="21"/>
      <c r="BE10" s="21">
        <v>0</v>
      </c>
      <c r="BF10" s="21"/>
      <c r="BG10" s="21">
        <v>0</v>
      </c>
      <c r="BH10" s="21"/>
      <c r="BI10" s="21">
        <v>0</v>
      </c>
      <c r="BJ10" s="21"/>
      <c r="BK10" s="21">
        <v>0</v>
      </c>
      <c r="BL10" s="21"/>
      <c r="BM10" s="21">
        <v>0</v>
      </c>
      <c r="BN10" s="21"/>
      <c r="BO10" s="21">
        <v>0</v>
      </c>
      <c r="BP10" s="21"/>
      <c r="BQ10" s="21">
        <v>0</v>
      </c>
      <c r="BR10" s="21"/>
      <c r="BS10" s="21"/>
      <c r="BT10" s="7" t="s">
        <v>61</v>
      </c>
    </row>
    <row r="11" spans="2:72" x14ac:dyDescent="0.25">
      <c r="B11" s="8"/>
      <c r="C11" s="7" t="s">
        <v>127</v>
      </c>
      <c r="D11" s="7">
        <v>2</v>
      </c>
      <c r="E11" s="11" t="s">
        <v>70</v>
      </c>
      <c r="F11" s="13">
        <f>0.00001445*1000</f>
        <v>1.4450000000000001E-2</v>
      </c>
      <c r="G11" s="21">
        <v>0</v>
      </c>
      <c r="H11" s="7">
        <f>0.00001444*1000</f>
        <v>1.4440000000000001E-2</v>
      </c>
      <c r="I11" s="7">
        <v>0</v>
      </c>
      <c r="J11" s="7"/>
      <c r="K11" s="7">
        <v>0</v>
      </c>
      <c r="L11" s="7"/>
      <c r="M11" s="21">
        <v>0</v>
      </c>
      <c r="N11" s="7"/>
      <c r="O11" s="21">
        <v>0</v>
      </c>
      <c r="P11" s="21"/>
      <c r="Q11" s="21">
        <v>0</v>
      </c>
      <c r="R11" s="21"/>
      <c r="S11" s="21">
        <v>0</v>
      </c>
      <c r="T11" s="21"/>
      <c r="U11" s="21">
        <v>0</v>
      </c>
      <c r="V11" s="21"/>
      <c r="W11" s="21">
        <v>0</v>
      </c>
      <c r="X11" s="7"/>
      <c r="Y11" s="21">
        <v>0</v>
      </c>
      <c r="Z11" s="7"/>
      <c r="AA11" s="21">
        <v>0</v>
      </c>
      <c r="AB11" s="7"/>
      <c r="AC11" s="21">
        <v>0</v>
      </c>
      <c r="AD11" s="7"/>
      <c r="AE11" s="21">
        <v>0</v>
      </c>
      <c r="AF11" s="21"/>
      <c r="AG11" s="21">
        <v>0</v>
      </c>
      <c r="AH11" s="21"/>
      <c r="AI11" s="21">
        <v>0</v>
      </c>
      <c r="AJ11" s="21"/>
      <c r="AK11" s="21">
        <v>0</v>
      </c>
      <c r="AL11" s="21"/>
      <c r="AM11" s="21">
        <v>0</v>
      </c>
      <c r="AN11" s="21"/>
      <c r="AO11" s="21">
        <v>0</v>
      </c>
      <c r="AP11" s="21"/>
      <c r="AQ11" s="21">
        <v>0</v>
      </c>
      <c r="AR11" s="21"/>
      <c r="AS11" s="21">
        <v>0</v>
      </c>
      <c r="AT11" s="21"/>
      <c r="AU11" s="21">
        <v>0</v>
      </c>
      <c r="AV11" s="21"/>
      <c r="AW11" s="21">
        <v>0</v>
      </c>
      <c r="AX11" s="21"/>
      <c r="AY11" s="21">
        <v>0</v>
      </c>
      <c r="AZ11" s="21"/>
      <c r="BA11" s="21">
        <v>0</v>
      </c>
      <c r="BB11" s="21"/>
      <c r="BC11" s="21">
        <v>0</v>
      </c>
      <c r="BD11" s="21"/>
      <c r="BE11" s="21">
        <v>0</v>
      </c>
      <c r="BF11" s="21"/>
      <c r="BG11" s="21">
        <v>0</v>
      </c>
      <c r="BH11" s="21"/>
      <c r="BI11" s="21">
        <v>0</v>
      </c>
      <c r="BJ11" s="21"/>
      <c r="BK11" s="21">
        <v>0</v>
      </c>
      <c r="BL11" s="21"/>
      <c r="BM11" s="21">
        <v>0</v>
      </c>
      <c r="BN11" s="21"/>
      <c r="BO11" s="21">
        <v>0</v>
      </c>
      <c r="BP11" s="21"/>
      <c r="BQ11" s="21">
        <v>0</v>
      </c>
      <c r="BR11" s="21"/>
      <c r="BS11" s="21">
        <v>0</v>
      </c>
      <c r="BT11" s="7" t="s">
        <v>61</v>
      </c>
    </row>
    <row r="12" spans="2:72" x14ac:dyDescent="0.25">
      <c r="B12" s="17"/>
      <c r="C12" s="7"/>
      <c r="D12" s="7"/>
      <c r="E12" s="11" t="s">
        <v>71</v>
      </c>
      <c r="F12" s="13">
        <f>0.0000518*1000</f>
        <v>5.1799999999999999E-2</v>
      </c>
      <c r="G12" s="21">
        <v>0</v>
      </c>
      <c r="H12" s="7">
        <v>0</v>
      </c>
      <c r="I12" s="7">
        <v>0</v>
      </c>
      <c r="J12" s="7"/>
      <c r="K12" s="7">
        <v>0</v>
      </c>
      <c r="L12" s="7"/>
      <c r="M12" s="21">
        <v>0</v>
      </c>
      <c r="N12" s="7"/>
      <c r="O12" s="21">
        <v>0</v>
      </c>
      <c r="P12" s="21"/>
      <c r="Q12" s="21">
        <v>0</v>
      </c>
      <c r="R12" s="21"/>
      <c r="S12" s="21">
        <v>0</v>
      </c>
      <c r="T12" s="21"/>
      <c r="U12" s="21">
        <v>0</v>
      </c>
      <c r="V12" s="21"/>
      <c r="W12" s="21">
        <v>0</v>
      </c>
      <c r="X12" s="7"/>
      <c r="Y12" s="21">
        <v>0</v>
      </c>
      <c r="Z12" s="7"/>
      <c r="AA12" s="21">
        <v>0</v>
      </c>
      <c r="AB12" s="7"/>
      <c r="AC12" s="21">
        <v>0</v>
      </c>
      <c r="AD12" s="7"/>
      <c r="AE12" s="21">
        <v>0</v>
      </c>
      <c r="AF12" s="21"/>
      <c r="AG12" s="21">
        <v>0</v>
      </c>
      <c r="AH12" s="21"/>
      <c r="AI12" s="21">
        <v>0</v>
      </c>
      <c r="AJ12" s="21"/>
      <c r="AK12" s="21">
        <v>0</v>
      </c>
      <c r="AL12" s="21"/>
      <c r="AM12" s="21">
        <v>0</v>
      </c>
      <c r="AN12" s="21"/>
      <c r="AO12" s="21">
        <v>0</v>
      </c>
      <c r="AP12" s="21"/>
      <c r="AQ12" s="21">
        <v>0</v>
      </c>
      <c r="AR12" s="21"/>
      <c r="AS12" s="21">
        <v>0</v>
      </c>
      <c r="AT12" s="21"/>
      <c r="AU12" s="21">
        <v>0</v>
      </c>
      <c r="AV12" s="21"/>
      <c r="AW12" s="21">
        <v>0</v>
      </c>
      <c r="AX12" s="21"/>
      <c r="AY12" s="21">
        <v>0</v>
      </c>
      <c r="AZ12" s="21"/>
      <c r="BA12" s="21">
        <v>0</v>
      </c>
      <c r="BB12" s="21"/>
      <c r="BC12" s="21">
        <v>0</v>
      </c>
      <c r="BD12" s="21"/>
      <c r="BE12" s="21">
        <v>0</v>
      </c>
      <c r="BF12" s="21"/>
      <c r="BG12" s="21">
        <v>0</v>
      </c>
      <c r="BH12" s="21"/>
      <c r="BI12" s="21">
        <v>0</v>
      </c>
      <c r="BJ12" s="21"/>
      <c r="BK12" s="21">
        <v>0</v>
      </c>
      <c r="BL12" s="21"/>
      <c r="BM12" s="21">
        <v>0</v>
      </c>
      <c r="BN12" s="21"/>
      <c r="BO12" s="21">
        <v>0</v>
      </c>
      <c r="BP12" s="21"/>
      <c r="BQ12" s="21">
        <v>0</v>
      </c>
      <c r="BR12" s="21"/>
      <c r="BS12" s="21">
        <v>0</v>
      </c>
      <c r="BT12" s="7" t="s">
        <v>61</v>
      </c>
    </row>
    <row r="13" spans="2:72" ht="30" x14ac:dyDescent="0.25">
      <c r="B13" s="8"/>
      <c r="C13" s="19" t="s">
        <v>117</v>
      </c>
      <c r="D13" s="7">
        <v>2</v>
      </c>
      <c r="E13" s="11" t="s">
        <v>72</v>
      </c>
      <c r="F13" s="7">
        <f>0.0000944*1000</f>
        <v>9.4399999999999998E-2</v>
      </c>
      <c r="G13" s="21">
        <v>0</v>
      </c>
      <c r="H13" s="7">
        <v>0</v>
      </c>
      <c r="I13" s="7">
        <v>0</v>
      </c>
      <c r="J13" s="7"/>
      <c r="K13" s="7">
        <v>0</v>
      </c>
      <c r="L13" s="7"/>
      <c r="M13" s="21">
        <v>0</v>
      </c>
      <c r="N13" s="7"/>
      <c r="O13" s="21">
        <v>0</v>
      </c>
      <c r="P13" s="21"/>
      <c r="Q13" s="21">
        <v>0</v>
      </c>
      <c r="R13" s="21"/>
      <c r="S13" s="21">
        <v>0</v>
      </c>
      <c r="T13" s="21"/>
      <c r="U13" s="21">
        <v>0</v>
      </c>
      <c r="V13" s="21"/>
      <c r="W13" s="21">
        <v>0</v>
      </c>
      <c r="X13" s="7"/>
      <c r="Y13" s="21">
        <v>0</v>
      </c>
      <c r="Z13" s="7"/>
      <c r="AA13" s="21">
        <v>0</v>
      </c>
      <c r="AB13" s="7"/>
      <c r="AC13" s="21">
        <v>0</v>
      </c>
      <c r="AD13" s="7"/>
      <c r="AE13" s="21">
        <v>0</v>
      </c>
      <c r="AF13" s="21"/>
      <c r="AG13" s="21">
        <v>0</v>
      </c>
      <c r="AH13" s="21"/>
      <c r="AI13" s="21">
        <v>0</v>
      </c>
      <c r="AJ13" s="21"/>
      <c r="AK13" s="21">
        <v>0</v>
      </c>
      <c r="AL13" s="21"/>
      <c r="AM13" s="21">
        <v>0</v>
      </c>
      <c r="AN13" s="21"/>
      <c r="AO13" s="21">
        <v>0</v>
      </c>
      <c r="AP13" s="21"/>
      <c r="AQ13" s="21">
        <v>0</v>
      </c>
      <c r="AR13" s="21"/>
      <c r="AS13" s="21">
        <v>0</v>
      </c>
      <c r="AT13" s="21"/>
      <c r="AU13" s="21">
        <v>0</v>
      </c>
      <c r="AV13" s="21"/>
      <c r="AW13" s="21">
        <v>0</v>
      </c>
      <c r="AX13" s="21"/>
      <c r="AY13" s="21">
        <v>0</v>
      </c>
      <c r="AZ13" s="21"/>
      <c r="BA13" s="21">
        <v>0</v>
      </c>
      <c r="BB13" s="21"/>
      <c r="BC13" s="21">
        <v>0</v>
      </c>
      <c r="BD13" s="21"/>
      <c r="BE13" s="21">
        <v>0</v>
      </c>
      <c r="BF13" s="21"/>
      <c r="BG13" s="21">
        <v>0</v>
      </c>
      <c r="BH13" s="21"/>
      <c r="BI13" s="21">
        <v>0</v>
      </c>
      <c r="BJ13" s="21"/>
      <c r="BK13" s="21">
        <v>0</v>
      </c>
      <c r="BL13" s="21"/>
      <c r="BM13" s="21">
        <v>0</v>
      </c>
      <c r="BN13" s="21"/>
      <c r="BO13" s="21">
        <v>0</v>
      </c>
      <c r="BP13" s="21"/>
      <c r="BQ13" s="21">
        <v>0</v>
      </c>
      <c r="BR13" s="21"/>
      <c r="BS13" s="21">
        <v>0</v>
      </c>
      <c r="BT13" s="7" t="s">
        <v>61</v>
      </c>
    </row>
    <row r="14" spans="2:72" ht="30" x14ac:dyDescent="0.25">
      <c r="B14" s="7"/>
      <c r="C14" s="7" t="s">
        <v>116</v>
      </c>
      <c r="D14" s="7">
        <v>2</v>
      </c>
      <c r="E14" s="11" t="s">
        <v>73</v>
      </c>
      <c r="F14" s="7">
        <f>0.0003096*1000</f>
        <v>0.30959999999999999</v>
      </c>
      <c r="G14" s="21">
        <v>0</v>
      </c>
      <c r="H14" s="7">
        <f>0.0000396*1000</f>
        <v>3.9600000000000003E-2</v>
      </c>
      <c r="I14" s="7">
        <v>0</v>
      </c>
      <c r="J14" s="7"/>
      <c r="K14" s="7">
        <v>0</v>
      </c>
      <c r="L14" s="7"/>
      <c r="M14" s="21">
        <v>0</v>
      </c>
      <c r="N14" s="7"/>
      <c r="O14" s="21">
        <v>0</v>
      </c>
      <c r="P14" s="21"/>
      <c r="Q14" s="21">
        <v>0</v>
      </c>
      <c r="R14" s="21"/>
      <c r="S14" s="21">
        <v>0</v>
      </c>
      <c r="T14" s="21"/>
      <c r="U14" s="21">
        <v>0</v>
      </c>
      <c r="V14" s="21"/>
      <c r="W14" s="21">
        <v>0</v>
      </c>
      <c r="X14" s="7"/>
      <c r="Y14" s="21">
        <v>0</v>
      </c>
      <c r="Z14" s="7"/>
      <c r="AA14" s="21">
        <v>0</v>
      </c>
      <c r="AB14" s="7"/>
      <c r="AC14" s="21">
        <v>0</v>
      </c>
      <c r="AD14" s="7"/>
      <c r="AE14" s="21">
        <v>0</v>
      </c>
      <c r="AF14" s="21"/>
      <c r="AG14" s="21">
        <v>0</v>
      </c>
      <c r="AH14" s="21"/>
      <c r="AI14" s="21">
        <v>0</v>
      </c>
      <c r="AJ14" s="21"/>
      <c r="AK14" s="21">
        <v>0</v>
      </c>
      <c r="AL14" s="21"/>
      <c r="AM14" s="21">
        <v>0</v>
      </c>
      <c r="AN14" s="21"/>
      <c r="AO14" s="21">
        <v>0</v>
      </c>
      <c r="AP14" s="21"/>
      <c r="AQ14" s="21">
        <v>0</v>
      </c>
      <c r="AR14" s="21"/>
      <c r="AS14" s="21">
        <v>0</v>
      </c>
      <c r="AT14" s="21"/>
      <c r="AU14" s="21">
        <v>0</v>
      </c>
      <c r="AV14" s="21"/>
      <c r="AW14" s="21">
        <v>0</v>
      </c>
      <c r="AX14" s="21"/>
      <c r="AY14" s="21">
        <v>0</v>
      </c>
      <c r="AZ14" s="21"/>
      <c r="BA14" s="21">
        <v>0</v>
      </c>
      <c r="BB14" s="21"/>
      <c r="BC14" s="21">
        <v>0</v>
      </c>
      <c r="BD14" s="21"/>
      <c r="BE14" s="21">
        <v>0</v>
      </c>
      <c r="BF14" s="21"/>
      <c r="BG14" s="21">
        <v>0</v>
      </c>
      <c r="BH14" s="21"/>
      <c r="BI14" s="21">
        <v>0</v>
      </c>
      <c r="BJ14" s="21"/>
      <c r="BK14" s="21">
        <v>0</v>
      </c>
      <c r="BL14" s="21"/>
      <c r="BM14" s="21">
        <v>0</v>
      </c>
      <c r="BN14" s="21"/>
      <c r="BO14" s="21">
        <v>0</v>
      </c>
      <c r="BP14" s="21"/>
      <c r="BQ14" s="21">
        <v>0</v>
      </c>
      <c r="BR14" s="21"/>
      <c r="BS14" s="21">
        <v>0</v>
      </c>
      <c r="BT14" s="7" t="s">
        <v>61</v>
      </c>
    </row>
    <row r="15" spans="2:72" hidden="1" x14ac:dyDescent="0.25">
      <c r="B15" s="7"/>
      <c r="C15" s="7"/>
      <c r="D15" s="7"/>
      <c r="E15" s="11" t="s">
        <v>77</v>
      </c>
      <c r="F15" s="7">
        <v>0</v>
      </c>
      <c r="G15" s="21">
        <v>0</v>
      </c>
      <c r="H15" s="7">
        <v>0</v>
      </c>
      <c r="I15" s="7">
        <v>0</v>
      </c>
      <c r="J15" s="7">
        <f>0.18*1000</f>
        <v>180</v>
      </c>
      <c r="K15" s="7">
        <v>0</v>
      </c>
      <c r="L15" s="7"/>
      <c r="M15" s="21">
        <v>0</v>
      </c>
      <c r="N15" s="7"/>
      <c r="O15" s="21">
        <v>0</v>
      </c>
      <c r="P15" s="21"/>
      <c r="Q15" s="21">
        <v>0</v>
      </c>
      <c r="R15" s="21"/>
      <c r="S15" s="21">
        <v>0</v>
      </c>
      <c r="T15" s="21"/>
      <c r="U15" s="21">
        <v>0</v>
      </c>
      <c r="V15" s="21"/>
      <c r="W15" s="21">
        <v>0</v>
      </c>
      <c r="X15" s="7"/>
      <c r="Y15" s="21">
        <v>0</v>
      </c>
      <c r="Z15" s="7"/>
      <c r="AA15" s="21">
        <v>0</v>
      </c>
      <c r="AB15" s="7"/>
      <c r="AC15" s="21">
        <v>0</v>
      </c>
      <c r="AD15" s="7"/>
      <c r="AE15" s="21">
        <v>0</v>
      </c>
      <c r="AF15" s="21"/>
      <c r="AG15" s="21">
        <v>0</v>
      </c>
      <c r="AH15" s="21"/>
      <c r="AI15" s="21">
        <v>0</v>
      </c>
      <c r="AJ15" s="21"/>
      <c r="AK15" s="21">
        <v>0</v>
      </c>
      <c r="AL15" s="21"/>
      <c r="AM15" s="21">
        <v>0</v>
      </c>
      <c r="AN15" s="21"/>
      <c r="AO15" s="21">
        <v>0</v>
      </c>
      <c r="AP15" s="21"/>
      <c r="AQ15" s="21">
        <v>0</v>
      </c>
      <c r="AR15" s="21"/>
      <c r="AS15" s="21">
        <v>0</v>
      </c>
      <c r="AT15" s="21"/>
      <c r="AU15" s="21">
        <v>0</v>
      </c>
      <c r="AV15" s="21"/>
      <c r="AW15" s="21">
        <v>0</v>
      </c>
      <c r="AX15" s="21"/>
      <c r="AY15" s="21">
        <v>0</v>
      </c>
      <c r="AZ15" s="21"/>
      <c r="BA15" s="21">
        <v>0</v>
      </c>
      <c r="BB15" s="21"/>
      <c r="BC15" s="21">
        <v>0</v>
      </c>
      <c r="BD15" s="21"/>
      <c r="BE15" s="21">
        <v>0</v>
      </c>
      <c r="BF15" s="21"/>
      <c r="BG15" s="21">
        <v>0</v>
      </c>
      <c r="BH15" s="21"/>
      <c r="BI15" s="21">
        <v>0</v>
      </c>
      <c r="BJ15" s="21"/>
      <c r="BK15" s="21">
        <v>0</v>
      </c>
      <c r="BL15" s="21"/>
      <c r="BM15" s="21">
        <v>0</v>
      </c>
      <c r="BN15" s="21"/>
      <c r="BO15" s="21">
        <v>0</v>
      </c>
      <c r="BP15" s="21"/>
      <c r="BQ15" s="21">
        <v>0</v>
      </c>
      <c r="BR15" s="21"/>
      <c r="BS15" s="21"/>
      <c r="BT15" s="7" t="s">
        <v>61</v>
      </c>
    </row>
    <row r="16" spans="2:72" x14ac:dyDescent="0.25">
      <c r="B16" s="7"/>
      <c r="C16" s="7"/>
      <c r="D16" s="7">
        <v>1</v>
      </c>
      <c r="E16" s="11" t="s">
        <v>74</v>
      </c>
      <c r="F16" s="7">
        <f>16.42186*1000</f>
        <v>16421.86</v>
      </c>
      <c r="G16" s="21">
        <v>0</v>
      </c>
      <c r="H16" s="7">
        <f>0.004875*1000</f>
        <v>4.875</v>
      </c>
      <c r="I16" s="7">
        <v>0</v>
      </c>
      <c r="J16" s="7">
        <f>2.178*1000</f>
        <v>2178</v>
      </c>
      <c r="K16" s="7">
        <v>0</v>
      </c>
      <c r="L16" s="7"/>
      <c r="M16" s="21">
        <v>0</v>
      </c>
      <c r="N16" s="7"/>
      <c r="O16" s="21">
        <v>0</v>
      </c>
      <c r="P16" s="21"/>
      <c r="Q16" s="21">
        <v>0</v>
      </c>
      <c r="R16" s="21"/>
      <c r="S16" s="21">
        <v>0</v>
      </c>
      <c r="T16" s="21"/>
      <c r="U16" s="21">
        <v>0</v>
      </c>
      <c r="V16" s="21"/>
      <c r="W16" s="21">
        <v>0</v>
      </c>
      <c r="X16" s="7">
        <f>0.94*1000</f>
        <v>940</v>
      </c>
      <c r="Y16" s="21">
        <v>0</v>
      </c>
      <c r="Z16" s="7">
        <f>0.84*1000</f>
        <v>840</v>
      </c>
      <c r="AA16" s="21">
        <v>0</v>
      </c>
      <c r="AB16" s="7">
        <f>31.987296*1000</f>
        <v>31987.296000000002</v>
      </c>
      <c r="AC16" s="21">
        <v>0</v>
      </c>
      <c r="AD16" s="7">
        <f>2.622*1000</f>
        <v>2622</v>
      </c>
      <c r="AE16" s="21">
        <v>0</v>
      </c>
      <c r="AF16" s="21"/>
      <c r="AG16" s="21">
        <v>0</v>
      </c>
      <c r="AH16" s="21"/>
      <c r="AI16" s="21">
        <v>0</v>
      </c>
      <c r="AJ16" s="21"/>
      <c r="AK16" s="21">
        <v>0</v>
      </c>
      <c r="AL16" s="21"/>
      <c r="AM16" s="21">
        <v>0</v>
      </c>
      <c r="AN16" s="21"/>
      <c r="AO16" s="21">
        <v>0</v>
      </c>
      <c r="AP16" s="21"/>
      <c r="AQ16" s="21">
        <v>0</v>
      </c>
      <c r="AR16" s="21"/>
      <c r="AS16" s="21">
        <v>0</v>
      </c>
      <c r="AT16" s="21"/>
      <c r="AU16" s="21">
        <v>0</v>
      </c>
      <c r="AV16" s="21"/>
      <c r="AW16" s="21">
        <v>0</v>
      </c>
      <c r="AX16" s="21"/>
      <c r="AY16" s="21">
        <v>0</v>
      </c>
      <c r="AZ16" s="21"/>
      <c r="BA16" s="21">
        <v>0</v>
      </c>
      <c r="BB16" s="21"/>
      <c r="BC16" s="21">
        <v>0</v>
      </c>
      <c r="BD16" s="21"/>
      <c r="BE16" s="21">
        <v>0</v>
      </c>
      <c r="BF16" s="21"/>
      <c r="BG16" s="21">
        <v>0</v>
      </c>
      <c r="BH16" s="21"/>
      <c r="BI16" s="21">
        <v>0</v>
      </c>
      <c r="BJ16" s="21"/>
      <c r="BK16" s="21">
        <v>0</v>
      </c>
      <c r="BL16" s="21"/>
      <c r="BM16" s="21">
        <v>0</v>
      </c>
      <c r="BN16" s="21"/>
      <c r="BO16" s="21">
        <v>0</v>
      </c>
      <c r="BP16" s="21"/>
      <c r="BQ16" s="21">
        <v>0</v>
      </c>
      <c r="BR16" s="21">
        <f>1.27*1000</f>
        <v>1270</v>
      </c>
      <c r="BS16" s="21">
        <v>0</v>
      </c>
      <c r="BT16" s="7" t="s">
        <v>61</v>
      </c>
    </row>
    <row r="17" spans="2:72" x14ac:dyDescent="0.25">
      <c r="B17" s="7"/>
      <c r="C17" s="7"/>
      <c r="D17" s="7">
        <v>1</v>
      </c>
      <c r="E17" s="12" t="s">
        <v>75</v>
      </c>
      <c r="F17" s="7">
        <f>2.667928*1000</f>
        <v>2667.9279999999999</v>
      </c>
      <c r="G17" s="21">
        <v>0</v>
      </c>
      <c r="H17" s="7">
        <f>0.000792*1000</f>
        <v>0.79199999999999993</v>
      </c>
      <c r="I17" s="7">
        <v>0</v>
      </c>
      <c r="J17" s="7">
        <f>0.354*1000</f>
        <v>354</v>
      </c>
      <c r="K17" s="7">
        <v>0</v>
      </c>
      <c r="L17" s="7"/>
      <c r="M17" s="21">
        <v>0</v>
      </c>
      <c r="N17" s="7"/>
      <c r="O17" s="21">
        <v>0</v>
      </c>
      <c r="P17" s="21"/>
      <c r="Q17" s="21">
        <v>0</v>
      </c>
      <c r="R17" s="21"/>
      <c r="S17" s="21">
        <v>0</v>
      </c>
      <c r="T17" s="21"/>
      <c r="U17" s="21">
        <v>0</v>
      </c>
      <c r="V17" s="21"/>
      <c r="W17" s="21">
        <v>0</v>
      </c>
      <c r="X17" s="7">
        <f>0.1527*1000</f>
        <v>152.69999999999999</v>
      </c>
      <c r="Y17" s="21">
        <v>0</v>
      </c>
      <c r="Z17" s="7">
        <f>0.1364*1000</f>
        <v>136.4</v>
      </c>
      <c r="AA17" s="21">
        <v>0</v>
      </c>
      <c r="AB17" s="7">
        <f>5.1979356*1000</f>
        <v>5197.9355999999998</v>
      </c>
      <c r="AC17" s="21">
        <v>0</v>
      </c>
      <c r="AD17" s="7">
        <f>0.4263*1000</f>
        <v>426.3</v>
      </c>
      <c r="AE17" s="21">
        <v>0</v>
      </c>
      <c r="AF17" s="21"/>
      <c r="AG17" s="21">
        <v>0</v>
      </c>
      <c r="AH17" s="21"/>
      <c r="AI17" s="21">
        <v>0</v>
      </c>
      <c r="AJ17" s="21"/>
      <c r="AK17" s="21">
        <v>0</v>
      </c>
      <c r="AL17" s="21"/>
      <c r="AM17" s="21">
        <v>0</v>
      </c>
      <c r="AN17" s="21"/>
      <c r="AO17" s="21">
        <v>0</v>
      </c>
      <c r="AP17" s="21"/>
      <c r="AQ17" s="21">
        <v>0</v>
      </c>
      <c r="AR17" s="21"/>
      <c r="AS17" s="21">
        <v>0</v>
      </c>
      <c r="AT17" s="21"/>
      <c r="AU17" s="21">
        <v>0</v>
      </c>
      <c r="AV17" s="21"/>
      <c r="AW17" s="21">
        <v>0</v>
      </c>
      <c r="AX17" s="21"/>
      <c r="AY17" s="21">
        <v>0</v>
      </c>
      <c r="AZ17" s="21"/>
      <c r="BA17" s="21">
        <v>0</v>
      </c>
      <c r="BB17" s="21"/>
      <c r="BC17" s="21">
        <v>0</v>
      </c>
      <c r="BD17" s="21"/>
      <c r="BE17" s="21">
        <v>0</v>
      </c>
      <c r="BF17" s="21"/>
      <c r="BG17" s="21">
        <v>0</v>
      </c>
      <c r="BH17" s="21"/>
      <c r="BI17" s="21">
        <v>0</v>
      </c>
      <c r="BJ17" s="21"/>
      <c r="BK17" s="21">
        <v>0</v>
      </c>
      <c r="BL17" s="21"/>
      <c r="BM17" s="21">
        <v>0</v>
      </c>
      <c r="BN17" s="21"/>
      <c r="BO17" s="21">
        <v>0</v>
      </c>
      <c r="BP17" s="21"/>
      <c r="BQ17" s="21">
        <v>0</v>
      </c>
      <c r="BR17" s="21">
        <f>0.206*1000</f>
        <v>206</v>
      </c>
      <c r="BS17" s="21">
        <v>0</v>
      </c>
      <c r="BT17" s="7" t="s">
        <v>61</v>
      </c>
    </row>
    <row r="18" spans="2:72" x14ac:dyDescent="0.25">
      <c r="B18" s="7"/>
      <c r="C18" s="7"/>
      <c r="D18" s="7">
        <v>1</v>
      </c>
      <c r="E18" s="11" t="s">
        <v>76</v>
      </c>
      <c r="F18" s="7">
        <v>0</v>
      </c>
      <c r="G18" s="21">
        <v>0</v>
      </c>
      <c r="H18" s="7">
        <v>0</v>
      </c>
      <c r="I18" s="7">
        <v>0</v>
      </c>
      <c r="J18" s="7">
        <f>4.23*1000</f>
        <v>4230</v>
      </c>
      <c r="K18" s="7">
        <v>0</v>
      </c>
      <c r="L18" s="7"/>
      <c r="M18" s="21">
        <v>0</v>
      </c>
      <c r="N18" s="7"/>
      <c r="O18" s="21">
        <v>0</v>
      </c>
      <c r="P18" s="21"/>
      <c r="Q18" s="21">
        <v>0</v>
      </c>
      <c r="R18" s="21"/>
      <c r="S18" s="21">
        <v>0</v>
      </c>
      <c r="T18" s="21"/>
      <c r="U18" s="21">
        <v>0</v>
      </c>
      <c r="V18" s="21"/>
      <c r="W18" s="21">
        <v>0</v>
      </c>
      <c r="X18" s="7">
        <f>4.022*1000</f>
        <v>4022.0000000000005</v>
      </c>
      <c r="Y18" s="21">
        <v>0</v>
      </c>
      <c r="Z18" s="7">
        <f>4.014*1000</f>
        <v>4014.0000000000005</v>
      </c>
      <c r="AA18" s="21">
        <v>0</v>
      </c>
      <c r="AB18" s="7">
        <f>28.08*1000</f>
        <v>28080</v>
      </c>
      <c r="AC18" s="21">
        <v>0</v>
      </c>
      <c r="AD18" s="7">
        <f>11.24*1000</f>
        <v>11240</v>
      </c>
      <c r="AE18" s="21">
        <v>0</v>
      </c>
      <c r="AF18" s="21"/>
      <c r="AG18" s="21">
        <v>0</v>
      </c>
      <c r="AH18" s="21"/>
      <c r="AI18" s="21">
        <v>0</v>
      </c>
      <c r="AJ18" s="21"/>
      <c r="AK18" s="21">
        <v>0</v>
      </c>
      <c r="AL18" s="21"/>
      <c r="AM18" s="21">
        <v>0</v>
      </c>
      <c r="AN18" s="21"/>
      <c r="AO18" s="21">
        <v>0</v>
      </c>
      <c r="AP18" s="21"/>
      <c r="AQ18" s="21">
        <v>0</v>
      </c>
      <c r="AR18" s="21"/>
      <c r="AS18" s="21">
        <v>0</v>
      </c>
      <c r="AT18" s="21"/>
      <c r="AU18" s="21">
        <v>0</v>
      </c>
      <c r="AV18" s="21"/>
      <c r="AW18" s="21">
        <v>0</v>
      </c>
      <c r="AX18" s="21"/>
      <c r="AY18" s="21">
        <v>0</v>
      </c>
      <c r="AZ18" s="21"/>
      <c r="BA18" s="21">
        <v>0</v>
      </c>
      <c r="BB18" s="21"/>
      <c r="BC18" s="21">
        <v>0</v>
      </c>
      <c r="BD18" s="21"/>
      <c r="BE18" s="21">
        <v>0</v>
      </c>
      <c r="BF18" s="21"/>
      <c r="BG18" s="21">
        <v>0</v>
      </c>
      <c r="BH18" s="21"/>
      <c r="BI18" s="21">
        <v>0</v>
      </c>
      <c r="BJ18" s="21"/>
      <c r="BK18" s="21">
        <v>0</v>
      </c>
      <c r="BL18" s="21"/>
      <c r="BM18" s="21">
        <v>0</v>
      </c>
      <c r="BN18" s="21"/>
      <c r="BO18" s="21">
        <v>0</v>
      </c>
      <c r="BP18" s="21"/>
      <c r="BQ18" s="21">
        <v>0</v>
      </c>
      <c r="BR18" s="21"/>
      <c r="BS18" s="21">
        <v>0</v>
      </c>
      <c r="BT18" s="7" t="s">
        <v>61</v>
      </c>
    </row>
    <row r="19" spans="2:72" x14ac:dyDescent="0.25">
      <c r="B19" s="7"/>
      <c r="C19" s="7"/>
      <c r="D19" s="7"/>
      <c r="E19" s="11" t="s">
        <v>49</v>
      </c>
      <c r="F19" s="7">
        <f>0.000379*1000</f>
        <v>0.379</v>
      </c>
      <c r="G19" s="21">
        <v>0</v>
      </c>
      <c r="H19" s="7">
        <v>0</v>
      </c>
      <c r="I19" s="7">
        <v>0</v>
      </c>
      <c r="J19" s="7"/>
      <c r="K19" s="7">
        <v>0</v>
      </c>
      <c r="L19" s="7">
        <f>0.00011*1000</f>
        <v>0.11</v>
      </c>
      <c r="M19" s="21">
        <v>0</v>
      </c>
      <c r="N19" s="7">
        <f>0.00011*1000</f>
        <v>0.11</v>
      </c>
      <c r="O19" s="21">
        <v>0</v>
      </c>
      <c r="P19" s="21"/>
      <c r="Q19" s="21">
        <v>0</v>
      </c>
      <c r="R19" s="21">
        <f>0.000351*1000</f>
        <v>0.35100000000000003</v>
      </c>
      <c r="S19" s="21">
        <v>0</v>
      </c>
      <c r="T19" s="21"/>
      <c r="U19" s="21">
        <v>0</v>
      </c>
      <c r="V19" s="21">
        <f>0.000341*1000</f>
        <v>0.34099999999999997</v>
      </c>
      <c r="W19" s="21">
        <v>0</v>
      </c>
      <c r="X19" s="7"/>
      <c r="Y19" s="21">
        <v>0</v>
      </c>
      <c r="Z19" s="7"/>
      <c r="AA19" s="21">
        <v>0</v>
      </c>
      <c r="AB19" s="7"/>
      <c r="AC19" s="21">
        <v>0</v>
      </c>
      <c r="AD19" s="7"/>
      <c r="AE19" s="21">
        <v>0</v>
      </c>
      <c r="AF19" s="21"/>
      <c r="AG19" s="21">
        <v>0</v>
      </c>
      <c r="AH19" s="21"/>
      <c r="AI19" s="21">
        <v>0</v>
      </c>
      <c r="AJ19" s="21"/>
      <c r="AK19" s="21">
        <v>0</v>
      </c>
      <c r="AL19" s="21"/>
      <c r="AM19" s="21">
        <v>0</v>
      </c>
      <c r="AN19" s="21"/>
      <c r="AO19" s="21">
        <v>0</v>
      </c>
      <c r="AP19" s="21"/>
      <c r="AQ19" s="21">
        <v>0</v>
      </c>
      <c r="AR19" s="21"/>
      <c r="AS19" s="21">
        <v>0</v>
      </c>
      <c r="AT19" s="21"/>
      <c r="AU19" s="21">
        <v>0</v>
      </c>
      <c r="AV19" s="21"/>
      <c r="AW19" s="21">
        <v>0</v>
      </c>
      <c r="AX19" s="21"/>
      <c r="AY19" s="21">
        <v>0</v>
      </c>
      <c r="AZ19" s="21"/>
      <c r="BA19" s="21">
        <v>0</v>
      </c>
      <c r="BB19" s="21"/>
      <c r="BC19" s="21">
        <v>0</v>
      </c>
      <c r="BD19" s="21"/>
      <c r="BE19" s="21">
        <v>0</v>
      </c>
      <c r="BF19" s="21"/>
      <c r="BG19" s="21">
        <v>0</v>
      </c>
      <c r="BH19" s="21"/>
      <c r="BI19" s="21">
        <v>0</v>
      </c>
      <c r="BJ19" s="21"/>
      <c r="BK19" s="21">
        <v>0</v>
      </c>
      <c r="BL19" s="21"/>
      <c r="BM19" s="21">
        <v>0</v>
      </c>
      <c r="BN19" s="21"/>
      <c r="BO19" s="21">
        <v>0</v>
      </c>
      <c r="BP19" s="21"/>
      <c r="BQ19" s="21">
        <v>0</v>
      </c>
      <c r="BR19" s="21"/>
      <c r="BS19" s="21">
        <v>0</v>
      </c>
      <c r="BT19" s="7" t="s">
        <v>61</v>
      </c>
    </row>
    <row r="20" spans="2:72" x14ac:dyDescent="0.25">
      <c r="B20" s="7"/>
      <c r="C20" s="7" t="s">
        <v>60</v>
      </c>
      <c r="D20" s="7">
        <v>1</v>
      </c>
      <c r="E20" s="11" t="s">
        <v>50</v>
      </c>
      <c r="F20" s="7">
        <f>27.3243*1000</f>
        <v>27324.3</v>
      </c>
      <c r="G20" s="21">
        <v>0</v>
      </c>
      <c r="H20" s="7">
        <f>0.0386*1000</f>
        <v>38.6</v>
      </c>
      <c r="I20" s="7">
        <v>0</v>
      </c>
      <c r="J20" s="7">
        <f>9.84*1000</f>
        <v>9840</v>
      </c>
      <c r="K20" s="7">
        <v>0</v>
      </c>
      <c r="L20" s="7"/>
      <c r="M20" s="21">
        <v>0</v>
      </c>
      <c r="N20" s="7"/>
      <c r="O20" s="21">
        <v>0</v>
      </c>
      <c r="P20" s="21"/>
      <c r="Q20" s="21">
        <v>0</v>
      </c>
      <c r="R20" s="21"/>
      <c r="S20" s="21">
        <v>0</v>
      </c>
      <c r="T20" s="21"/>
      <c r="U20" s="21">
        <v>0</v>
      </c>
      <c r="V20" s="21"/>
      <c r="W20" s="21">
        <v>0</v>
      </c>
      <c r="X20" s="7">
        <f>12.6*1000</f>
        <v>12600</v>
      </c>
      <c r="Y20" s="21">
        <v>0</v>
      </c>
      <c r="Z20" s="7">
        <f>12.57*1000</f>
        <v>12570</v>
      </c>
      <c r="AA20" s="21">
        <v>0</v>
      </c>
      <c r="AB20" s="7">
        <f>74.6739*1000</f>
        <v>74673.900000000009</v>
      </c>
      <c r="AC20" s="21">
        <v>0</v>
      </c>
      <c r="AD20" s="7">
        <f>35.19*1000</f>
        <v>35190</v>
      </c>
      <c r="AE20" s="21">
        <v>0</v>
      </c>
      <c r="AF20" s="21"/>
      <c r="AG20" s="21">
        <v>0</v>
      </c>
      <c r="AH20" s="21"/>
      <c r="AI20" s="21">
        <v>0</v>
      </c>
      <c r="AJ20" s="21"/>
      <c r="AK20" s="21">
        <v>0</v>
      </c>
      <c r="AL20" s="21"/>
      <c r="AM20" s="21">
        <v>0</v>
      </c>
      <c r="AN20" s="21"/>
      <c r="AO20" s="21">
        <v>0</v>
      </c>
      <c r="AP20" s="21"/>
      <c r="AQ20" s="21">
        <v>0</v>
      </c>
      <c r="AR20" s="21"/>
      <c r="AS20" s="21">
        <v>0</v>
      </c>
      <c r="AT20" s="21"/>
      <c r="AU20" s="21">
        <v>0</v>
      </c>
      <c r="AV20" s="21"/>
      <c r="AW20" s="21">
        <v>0</v>
      </c>
      <c r="AX20" s="21"/>
      <c r="AY20" s="21">
        <v>0</v>
      </c>
      <c r="AZ20" s="21"/>
      <c r="BA20" s="21">
        <v>0</v>
      </c>
      <c r="BB20" s="21"/>
      <c r="BC20" s="21">
        <v>0</v>
      </c>
      <c r="BD20" s="21"/>
      <c r="BE20" s="21">
        <v>0</v>
      </c>
      <c r="BF20" s="21"/>
      <c r="BG20" s="21">
        <v>0</v>
      </c>
      <c r="BH20" s="21"/>
      <c r="BI20" s="21">
        <v>0</v>
      </c>
      <c r="BJ20" s="21"/>
      <c r="BK20" s="21">
        <v>0</v>
      </c>
      <c r="BL20" s="21"/>
      <c r="BM20" s="21">
        <v>0</v>
      </c>
      <c r="BN20" s="21"/>
      <c r="BO20" s="21">
        <v>0</v>
      </c>
      <c r="BP20" s="21"/>
      <c r="BQ20" s="21">
        <v>0</v>
      </c>
      <c r="BR20" s="21">
        <f>2.104*1000</f>
        <v>2104</v>
      </c>
      <c r="BS20" s="21">
        <v>0</v>
      </c>
      <c r="BT20" s="7" t="s">
        <v>61</v>
      </c>
    </row>
    <row r="21" spans="2:72" ht="47.25" hidden="1" customHeight="1" x14ac:dyDescent="0.25">
      <c r="B21" s="7"/>
      <c r="C21" s="7"/>
      <c r="D21" s="7"/>
      <c r="E21" s="11" t="s">
        <v>78</v>
      </c>
      <c r="F21" s="7">
        <f>0.008017*1000</f>
        <v>8.0169999999999995</v>
      </c>
      <c r="G21" s="21">
        <v>0</v>
      </c>
      <c r="H21" s="7">
        <f>0.004342*1000</f>
        <v>4.3420000000000005</v>
      </c>
      <c r="I21" s="7">
        <v>0</v>
      </c>
      <c r="J21" s="7"/>
      <c r="K21" s="7">
        <v>0</v>
      </c>
      <c r="L21" s="7"/>
      <c r="M21" s="21">
        <v>0</v>
      </c>
      <c r="N21" s="7"/>
      <c r="O21" s="21">
        <v>0</v>
      </c>
      <c r="P21" s="21"/>
      <c r="Q21" s="21">
        <v>0</v>
      </c>
      <c r="R21" s="21"/>
      <c r="S21" s="21">
        <v>0</v>
      </c>
      <c r="T21" s="21"/>
      <c r="U21" s="21">
        <v>0</v>
      </c>
      <c r="V21" s="21"/>
      <c r="W21" s="21">
        <v>0</v>
      </c>
      <c r="X21" s="7"/>
      <c r="Y21" s="21">
        <v>0</v>
      </c>
      <c r="Z21" s="7"/>
      <c r="AA21" s="21">
        <v>0</v>
      </c>
      <c r="AB21" s="7"/>
      <c r="AC21" s="21">
        <v>0</v>
      </c>
      <c r="AD21" s="7"/>
      <c r="AE21" s="21">
        <v>0</v>
      </c>
      <c r="AF21" s="21"/>
      <c r="AG21" s="21">
        <v>0</v>
      </c>
      <c r="AH21" s="21"/>
      <c r="AI21" s="21">
        <v>0</v>
      </c>
      <c r="AJ21" s="21"/>
      <c r="AK21" s="21">
        <v>0</v>
      </c>
      <c r="AL21" s="21"/>
      <c r="AM21" s="21">
        <v>0</v>
      </c>
      <c r="AN21" s="21"/>
      <c r="AO21" s="21">
        <v>0</v>
      </c>
      <c r="AP21" s="21"/>
      <c r="AQ21" s="21">
        <v>0</v>
      </c>
      <c r="AR21" s="21"/>
      <c r="AS21" s="21">
        <v>0</v>
      </c>
      <c r="AT21" s="21"/>
      <c r="AU21" s="21">
        <v>0</v>
      </c>
      <c r="AV21" s="21"/>
      <c r="AW21" s="21">
        <v>0</v>
      </c>
      <c r="AX21" s="21"/>
      <c r="AY21" s="21">
        <v>0</v>
      </c>
      <c r="AZ21" s="21"/>
      <c r="BA21" s="21">
        <v>0</v>
      </c>
      <c r="BB21" s="21"/>
      <c r="BC21" s="21">
        <v>0</v>
      </c>
      <c r="BD21" s="21"/>
      <c r="BE21" s="21">
        <v>0</v>
      </c>
      <c r="BF21" s="21"/>
      <c r="BG21" s="21">
        <v>0</v>
      </c>
      <c r="BH21" s="21"/>
      <c r="BI21" s="21">
        <v>0</v>
      </c>
      <c r="BJ21" s="21"/>
      <c r="BK21" s="21">
        <v>0</v>
      </c>
      <c r="BL21" s="21"/>
      <c r="BM21" s="21">
        <v>0</v>
      </c>
      <c r="BN21" s="21"/>
      <c r="BO21" s="21">
        <v>0</v>
      </c>
      <c r="BP21" s="21"/>
      <c r="BQ21" s="21">
        <v>0</v>
      </c>
      <c r="BR21" s="21"/>
      <c r="BS21" s="21"/>
      <c r="BT21" s="7" t="s">
        <v>61</v>
      </c>
    </row>
    <row r="22" spans="2:72" ht="46.5" customHeight="1" x14ac:dyDescent="0.25">
      <c r="B22" s="7"/>
      <c r="C22" s="7"/>
      <c r="D22" s="7">
        <v>6</v>
      </c>
      <c r="E22" s="11" t="s">
        <v>79</v>
      </c>
      <c r="F22" s="7">
        <f>0.0211766*1000</f>
        <v>21.176600000000001</v>
      </c>
      <c r="G22" s="21">
        <v>0</v>
      </c>
      <c r="H22" s="7">
        <f>0.006566*1000</f>
        <v>6.5659999999999998</v>
      </c>
      <c r="I22" s="7">
        <v>0</v>
      </c>
      <c r="J22" s="7"/>
      <c r="K22" s="7">
        <v>0</v>
      </c>
      <c r="L22" s="7"/>
      <c r="M22" s="21">
        <v>0</v>
      </c>
      <c r="N22" s="7"/>
      <c r="O22" s="21">
        <v>0</v>
      </c>
      <c r="P22" s="21"/>
      <c r="Q22" s="21">
        <v>0</v>
      </c>
      <c r="R22" s="21"/>
      <c r="S22" s="21">
        <v>0</v>
      </c>
      <c r="T22" s="21"/>
      <c r="U22" s="21">
        <v>0</v>
      </c>
      <c r="V22" s="21"/>
      <c r="W22" s="21">
        <v>0</v>
      </c>
      <c r="X22" s="7"/>
      <c r="Y22" s="21">
        <v>0</v>
      </c>
      <c r="Z22" s="7"/>
      <c r="AA22" s="21">
        <v>0</v>
      </c>
      <c r="AB22" s="7"/>
      <c r="AC22" s="21">
        <v>0</v>
      </c>
      <c r="AD22" s="7"/>
      <c r="AE22" s="21">
        <v>0</v>
      </c>
      <c r="AF22" s="21"/>
      <c r="AG22" s="21">
        <v>0</v>
      </c>
      <c r="AH22" s="21"/>
      <c r="AI22" s="21">
        <v>0</v>
      </c>
      <c r="AJ22" s="21"/>
      <c r="AK22" s="21">
        <v>0</v>
      </c>
      <c r="AL22" s="21"/>
      <c r="AM22" s="21">
        <v>0</v>
      </c>
      <c r="AN22" s="21"/>
      <c r="AO22" s="21">
        <v>0</v>
      </c>
      <c r="AP22" s="21"/>
      <c r="AQ22" s="21">
        <v>0</v>
      </c>
      <c r="AR22" s="21"/>
      <c r="AS22" s="21">
        <v>0</v>
      </c>
      <c r="AT22" s="21"/>
      <c r="AU22" s="21">
        <v>0</v>
      </c>
      <c r="AV22" s="21"/>
      <c r="AW22" s="21">
        <v>0</v>
      </c>
      <c r="AX22" s="21"/>
      <c r="AY22" s="21">
        <v>0</v>
      </c>
      <c r="AZ22" s="21"/>
      <c r="BA22" s="21">
        <v>0</v>
      </c>
      <c r="BB22" s="21"/>
      <c r="BC22" s="21">
        <v>0</v>
      </c>
      <c r="BD22" s="21"/>
      <c r="BE22" s="21">
        <v>0</v>
      </c>
      <c r="BF22" s="21"/>
      <c r="BG22" s="21">
        <v>0</v>
      </c>
      <c r="BH22" s="21"/>
      <c r="BI22" s="21">
        <v>0</v>
      </c>
      <c r="BJ22" s="21"/>
      <c r="BK22" s="21">
        <v>0</v>
      </c>
      <c r="BL22" s="21"/>
      <c r="BM22" s="21">
        <v>0</v>
      </c>
      <c r="BN22" s="21"/>
      <c r="BO22" s="21">
        <v>0</v>
      </c>
      <c r="BP22" s="21"/>
      <c r="BQ22" s="21">
        <v>0</v>
      </c>
      <c r="BR22" s="21"/>
      <c r="BS22" s="21">
        <v>0</v>
      </c>
      <c r="BT22" s="7" t="s">
        <v>61</v>
      </c>
    </row>
    <row r="23" spans="2:72" ht="30" x14ac:dyDescent="0.25">
      <c r="B23" s="7"/>
      <c r="C23" s="7"/>
      <c r="D23" s="7"/>
      <c r="E23" s="11" t="s">
        <v>51</v>
      </c>
      <c r="F23" s="7">
        <v>0</v>
      </c>
      <c r="G23" s="21">
        <v>0</v>
      </c>
      <c r="H23" s="7">
        <v>0</v>
      </c>
      <c r="I23" s="7">
        <v>0</v>
      </c>
      <c r="J23" s="7"/>
      <c r="K23" s="7">
        <v>0</v>
      </c>
      <c r="L23" s="7"/>
      <c r="M23" s="21">
        <v>0</v>
      </c>
      <c r="N23" s="7"/>
      <c r="O23" s="21">
        <v>0</v>
      </c>
      <c r="P23" s="21">
        <f>0.936*1000</f>
        <v>936</v>
      </c>
      <c r="Q23" s="21">
        <v>0</v>
      </c>
      <c r="R23" s="21"/>
      <c r="S23" s="21">
        <v>0</v>
      </c>
      <c r="T23" s="21">
        <f>0.604*1000</f>
        <v>604</v>
      </c>
      <c r="U23" s="21">
        <v>0</v>
      </c>
      <c r="V23" s="21"/>
      <c r="W23" s="21">
        <v>0</v>
      </c>
      <c r="X23" s="7"/>
      <c r="Y23" s="21">
        <v>0</v>
      </c>
      <c r="Z23" s="7"/>
      <c r="AA23" s="21">
        <v>0</v>
      </c>
      <c r="AB23" s="7"/>
      <c r="AC23" s="21">
        <v>0</v>
      </c>
      <c r="AD23" s="7"/>
      <c r="AE23" s="21">
        <v>0</v>
      </c>
      <c r="AF23" s="21"/>
      <c r="AG23" s="21">
        <v>0</v>
      </c>
      <c r="AH23" s="21"/>
      <c r="AI23" s="21">
        <v>0</v>
      </c>
      <c r="AJ23" s="21"/>
      <c r="AK23" s="21">
        <v>0</v>
      </c>
      <c r="AL23" s="21"/>
      <c r="AM23" s="21">
        <v>0</v>
      </c>
      <c r="AN23" s="21"/>
      <c r="AO23" s="21">
        <v>0</v>
      </c>
      <c r="AP23" s="21"/>
      <c r="AQ23" s="21">
        <v>0</v>
      </c>
      <c r="AR23" s="21"/>
      <c r="AS23" s="21">
        <v>0</v>
      </c>
      <c r="AT23" s="21"/>
      <c r="AU23" s="21">
        <v>0</v>
      </c>
      <c r="AV23" s="21"/>
      <c r="AW23" s="21">
        <v>0</v>
      </c>
      <c r="AX23" s="21"/>
      <c r="AY23" s="21">
        <v>0</v>
      </c>
      <c r="AZ23" s="21"/>
      <c r="BA23" s="21">
        <v>0</v>
      </c>
      <c r="BB23" s="21"/>
      <c r="BC23" s="21">
        <v>0</v>
      </c>
      <c r="BD23" s="21"/>
      <c r="BE23" s="21">
        <v>0</v>
      </c>
      <c r="BF23" s="21"/>
      <c r="BG23" s="21">
        <v>0</v>
      </c>
      <c r="BH23" s="21"/>
      <c r="BI23" s="21">
        <v>0</v>
      </c>
      <c r="BJ23" s="21"/>
      <c r="BK23" s="21">
        <v>0</v>
      </c>
      <c r="BL23" s="21"/>
      <c r="BM23" s="21">
        <v>0</v>
      </c>
      <c r="BN23" s="21"/>
      <c r="BO23" s="21">
        <v>0</v>
      </c>
      <c r="BP23" s="21"/>
      <c r="BQ23" s="21">
        <v>0</v>
      </c>
      <c r="BR23" s="21"/>
      <c r="BS23" s="21">
        <v>0</v>
      </c>
      <c r="BT23" s="7" t="s">
        <v>61</v>
      </c>
    </row>
    <row r="24" spans="2:72" ht="30" x14ac:dyDescent="0.25">
      <c r="B24" s="7"/>
      <c r="C24" s="7"/>
      <c r="D24" s="7"/>
      <c r="E24" s="11" t="s">
        <v>52</v>
      </c>
      <c r="F24" s="7">
        <v>0</v>
      </c>
      <c r="G24" s="21">
        <v>0</v>
      </c>
      <c r="H24" s="7">
        <v>0</v>
      </c>
      <c r="I24" s="7">
        <v>0</v>
      </c>
      <c r="J24" s="7"/>
      <c r="K24" s="7">
        <v>0</v>
      </c>
      <c r="L24" s="7"/>
      <c r="M24" s="21">
        <v>0</v>
      </c>
      <c r="N24" s="7"/>
      <c r="O24" s="21">
        <v>0</v>
      </c>
      <c r="P24" s="21">
        <f>0.346*1000</f>
        <v>346</v>
      </c>
      <c r="Q24" s="21">
        <v>0</v>
      </c>
      <c r="R24" s="21"/>
      <c r="S24" s="21">
        <v>0</v>
      </c>
      <c r="T24" s="21">
        <f>0.2233*1000</f>
        <v>223.3</v>
      </c>
      <c r="U24" s="21">
        <v>0</v>
      </c>
      <c r="V24" s="21"/>
      <c r="W24" s="21">
        <v>0</v>
      </c>
      <c r="X24" s="7"/>
      <c r="Y24" s="21">
        <v>0</v>
      </c>
      <c r="Z24" s="7"/>
      <c r="AA24" s="21">
        <v>0</v>
      </c>
      <c r="AB24" s="7"/>
      <c r="AC24" s="21">
        <v>0</v>
      </c>
      <c r="AD24" s="7"/>
      <c r="AE24" s="21">
        <v>0</v>
      </c>
      <c r="AF24" s="21"/>
      <c r="AG24" s="21">
        <v>0</v>
      </c>
      <c r="AH24" s="21"/>
      <c r="AI24" s="21">
        <v>0</v>
      </c>
      <c r="AJ24" s="21"/>
      <c r="AK24" s="21">
        <v>0</v>
      </c>
      <c r="AL24" s="21"/>
      <c r="AM24" s="21">
        <v>0</v>
      </c>
      <c r="AN24" s="21"/>
      <c r="AO24" s="21">
        <v>0</v>
      </c>
      <c r="AP24" s="21"/>
      <c r="AQ24" s="21">
        <v>0</v>
      </c>
      <c r="AR24" s="21"/>
      <c r="AS24" s="21">
        <v>0</v>
      </c>
      <c r="AT24" s="21"/>
      <c r="AU24" s="21">
        <v>0</v>
      </c>
      <c r="AV24" s="21"/>
      <c r="AW24" s="21">
        <v>0</v>
      </c>
      <c r="AX24" s="21"/>
      <c r="AY24" s="21">
        <v>0</v>
      </c>
      <c r="AZ24" s="21"/>
      <c r="BA24" s="21">
        <v>0</v>
      </c>
      <c r="BB24" s="21"/>
      <c r="BC24" s="21">
        <v>0</v>
      </c>
      <c r="BD24" s="21"/>
      <c r="BE24" s="21">
        <v>0</v>
      </c>
      <c r="BF24" s="21"/>
      <c r="BG24" s="21">
        <v>0</v>
      </c>
      <c r="BH24" s="21"/>
      <c r="BI24" s="21">
        <v>0</v>
      </c>
      <c r="BJ24" s="21"/>
      <c r="BK24" s="21">
        <v>0</v>
      </c>
      <c r="BL24" s="21"/>
      <c r="BM24" s="21">
        <v>0</v>
      </c>
      <c r="BN24" s="21"/>
      <c r="BO24" s="21">
        <v>0</v>
      </c>
      <c r="BP24" s="21"/>
      <c r="BQ24" s="21">
        <v>0</v>
      </c>
      <c r="BR24" s="21"/>
      <c r="BS24" s="21">
        <v>0</v>
      </c>
      <c r="BT24" s="7" t="s">
        <v>61</v>
      </c>
    </row>
    <row r="25" spans="2:72" x14ac:dyDescent="0.25">
      <c r="B25" s="7"/>
      <c r="C25" s="7"/>
      <c r="D25" s="7"/>
      <c r="E25" s="4" t="s">
        <v>53</v>
      </c>
      <c r="F25" s="7">
        <v>0</v>
      </c>
      <c r="G25" s="21">
        <v>0</v>
      </c>
      <c r="H25" s="7">
        <v>0</v>
      </c>
      <c r="I25" s="7">
        <v>0</v>
      </c>
      <c r="J25" s="7"/>
      <c r="K25" s="7">
        <v>0</v>
      </c>
      <c r="L25" s="7"/>
      <c r="M25" s="21">
        <v>0</v>
      </c>
      <c r="N25" s="7"/>
      <c r="O25" s="21">
        <v>0</v>
      </c>
      <c r="P25" s="21">
        <f>0.0346*1000</f>
        <v>34.6</v>
      </c>
      <c r="Q25" s="21">
        <v>0</v>
      </c>
      <c r="R25" s="21"/>
      <c r="S25" s="21">
        <v>0</v>
      </c>
      <c r="T25" s="21">
        <f>0.02233*1000</f>
        <v>22.33</v>
      </c>
      <c r="U25" s="21">
        <v>0</v>
      </c>
      <c r="V25" s="21"/>
      <c r="W25" s="21">
        <v>0</v>
      </c>
      <c r="X25" s="7"/>
      <c r="Y25" s="21">
        <v>0</v>
      </c>
      <c r="Z25" s="7"/>
      <c r="AA25" s="21">
        <v>0</v>
      </c>
      <c r="AB25" s="7"/>
      <c r="AC25" s="21">
        <v>0</v>
      </c>
      <c r="AD25" s="7"/>
      <c r="AE25" s="21">
        <v>0</v>
      </c>
      <c r="AF25" s="21"/>
      <c r="AG25" s="21">
        <v>0</v>
      </c>
      <c r="AH25" s="21"/>
      <c r="AI25" s="21">
        <v>0</v>
      </c>
      <c r="AJ25" s="21"/>
      <c r="AK25" s="21">
        <v>0</v>
      </c>
      <c r="AL25" s="21"/>
      <c r="AM25" s="21">
        <v>0</v>
      </c>
      <c r="AN25" s="21"/>
      <c r="AO25" s="21">
        <v>0</v>
      </c>
      <c r="AP25" s="21"/>
      <c r="AQ25" s="21">
        <v>0</v>
      </c>
      <c r="AR25" s="21"/>
      <c r="AS25" s="21">
        <v>0</v>
      </c>
      <c r="AT25" s="21"/>
      <c r="AU25" s="21">
        <v>0</v>
      </c>
      <c r="AV25" s="21"/>
      <c r="AW25" s="21">
        <v>0</v>
      </c>
      <c r="AX25" s="21"/>
      <c r="AY25" s="21">
        <v>0</v>
      </c>
      <c r="AZ25" s="21"/>
      <c r="BA25" s="21">
        <v>0</v>
      </c>
      <c r="BB25" s="21"/>
      <c r="BC25" s="21">
        <v>0</v>
      </c>
      <c r="BD25" s="21"/>
      <c r="BE25" s="21">
        <v>0</v>
      </c>
      <c r="BF25" s="21"/>
      <c r="BG25" s="21">
        <v>0</v>
      </c>
      <c r="BH25" s="21"/>
      <c r="BI25" s="21">
        <v>0</v>
      </c>
      <c r="BJ25" s="21"/>
      <c r="BK25" s="21">
        <v>0</v>
      </c>
      <c r="BL25" s="21"/>
      <c r="BM25" s="21">
        <v>0</v>
      </c>
      <c r="BN25" s="21"/>
      <c r="BO25" s="21">
        <v>0</v>
      </c>
      <c r="BP25" s="21"/>
      <c r="BQ25" s="21">
        <v>0</v>
      </c>
      <c r="BR25" s="21"/>
      <c r="BS25" s="21">
        <v>0</v>
      </c>
      <c r="BT25" s="7" t="s">
        <v>61</v>
      </c>
    </row>
    <row r="26" spans="2:72" x14ac:dyDescent="0.25">
      <c r="B26" s="7"/>
      <c r="C26" s="7" t="s">
        <v>129</v>
      </c>
      <c r="D26" s="7">
        <v>5</v>
      </c>
      <c r="E26" s="4" t="s">
        <v>54</v>
      </c>
      <c r="F26" s="7">
        <v>0</v>
      </c>
      <c r="G26" s="21">
        <v>0</v>
      </c>
      <c r="H26" s="7">
        <v>0</v>
      </c>
      <c r="I26" s="7">
        <v>0</v>
      </c>
      <c r="J26" s="7"/>
      <c r="K26" s="7">
        <v>0</v>
      </c>
      <c r="L26" s="7"/>
      <c r="M26" s="21">
        <v>0</v>
      </c>
      <c r="N26" s="7"/>
      <c r="O26" s="21">
        <v>0</v>
      </c>
      <c r="P26" s="21">
        <f>0.0318*1000</f>
        <v>31.8</v>
      </c>
      <c r="Q26" s="21">
        <v>0</v>
      </c>
      <c r="R26" s="21"/>
      <c r="S26" s="21">
        <v>0</v>
      </c>
      <c r="T26" s="21">
        <f>0.02054*1000</f>
        <v>20.54</v>
      </c>
      <c r="U26" s="21">
        <v>0</v>
      </c>
      <c r="V26" s="21"/>
      <c r="W26" s="21">
        <v>0</v>
      </c>
      <c r="X26" s="7"/>
      <c r="Y26" s="21">
        <v>0</v>
      </c>
      <c r="Z26" s="7"/>
      <c r="AA26" s="21">
        <v>0</v>
      </c>
      <c r="AB26" s="7"/>
      <c r="AC26" s="21">
        <v>0</v>
      </c>
      <c r="AD26" s="7"/>
      <c r="AE26" s="21">
        <v>0</v>
      </c>
      <c r="AF26" s="21"/>
      <c r="AG26" s="21">
        <v>0</v>
      </c>
      <c r="AH26" s="21"/>
      <c r="AI26" s="21">
        <v>0</v>
      </c>
      <c r="AJ26" s="21"/>
      <c r="AK26" s="21">
        <v>0</v>
      </c>
      <c r="AL26" s="21"/>
      <c r="AM26" s="21">
        <v>0</v>
      </c>
      <c r="AN26" s="21"/>
      <c r="AO26" s="21">
        <v>0</v>
      </c>
      <c r="AP26" s="21"/>
      <c r="AQ26" s="21">
        <v>0</v>
      </c>
      <c r="AR26" s="21"/>
      <c r="AS26" s="21">
        <v>0</v>
      </c>
      <c r="AT26" s="21"/>
      <c r="AU26" s="21">
        <v>0</v>
      </c>
      <c r="AV26" s="21"/>
      <c r="AW26" s="21">
        <v>0</v>
      </c>
      <c r="AX26" s="21"/>
      <c r="AY26" s="21">
        <v>0</v>
      </c>
      <c r="AZ26" s="21"/>
      <c r="BA26" s="21">
        <v>0</v>
      </c>
      <c r="BB26" s="21"/>
      <c r="BC26" s="21">
        <v>0</v>
      </c>
      <c r="BD26" s="21"/>
      <c r="BE26" s="21">
        <v>0</v>
      </c>
      <c r="BF26" s="21"/>
      <c r="BG26" s="21">
        <v>0</v>
      </c>
      <c r="BH26" s="21"/>
      <c r="BI26" s="21">
        <v>0</v>
      </c>
      <c r="BJ26" s="21"/>
      <c r="BK26" s="21">
        <v>0</v>
      </c>
      <c r="BL26" s="21"/>
      <c r="BM26" s="21">
        <v>0</v>
      </c>
      <c r="BN26" s="21"/>
      <c r="BO26" s="21">
        <v>0</v>
      </c>
      <c r="BP26" s="21"/>
      <c r="BQ26" s="21">
        <v>0</v>
      </c>
      <c r="BR26" s="21"/>
      <c r="BS26" s="21">
        <v>0</v>
      </c>
      <c r="BT26" s="7" t="s">
        <v>61</v>
      </c>
    </row>
    <row r="27" spans="2:72" x14ac:dyDescent="0.25">
      <c r="B27" s="7"/>
      <c r="C27" s="7" t="s">
        <v>132</v>
      </c>
      <c r="D27" s="7">
        <v>5</v>
      </c>
      <c r="E27" s="11" t="s">
        <v>55</v>
      </c>
      <c r="F27" s="7">
        <f>1.10033*1000</f>
        <v>1100.33</v>
      </c>
      <c r="G27" s="21">
        <v>0</v>
      </c>
      <c r="H27" s="7">
        <v>0</v>
      </c>
      <c r="I27" s="7">
        <v>0</v>
      </c>
      <c r="J27" s="7"/>
      <c r="K27" s="7">
        <v>0</v>
      </c>
      <c r="L27" s="7"/>
      <c r="M27" s="21">
        <v>0</v>
      </c>
      <c r="N27" s="7"/>
      <c r="O27" s="21">
        <v>0</v>
      </c>
      <c r="P27" s="21">
        <f>0.00401*1000</f>
        <v>4.01</v>
      </c>
      <c r="Q27" s="21">
        <v>0</v>
      </c>
      <c r="R27" s="21"/>
      <c r="S27" s="21">
        <v>0</v>
      </c>
      <c r="T27" s="21">
        <f>0.00259*1000</f>
        <v>2.59</v>
      </c>
      <c r="U27" s="21">
        <v>0</v>
      </c>
      <c r="V27" s="21"/>
      <c r="W27" s="21">
        <v>0</v>
      </c>
      <c r="X27" s="7"/>
      <c r="Y27" s="21">
        <v>0</v>
      </c>
      <c r="Z27" s="7"/>
      <c r="AA27" s="21">
        <v>0</v>
      </c>
      <c r="AB27" s="7"/>
      <c r="AC27" s="21">
        <v>0</v>
      </c>
      <c r="AD27" s="7"/>
      <c r="AE27" s="21">
        <v>0</v>
      </c>
      <c r="AF27" s="21"/>
      <c r="AG27" s="21">
        <v>0</v>
      </c>
      <c r="AH27" s="21"/>
      <c r="AI27" s="21">
        <v>0</v>
      </c>
      <c r="AJ27" s="21"/>
      <c r="AK27" s="21">
        <v>0</v>
      </c>
      <c r="AL27" s="21"/>
      <c r="AM27" s="21">
        <v>0</v>
      </c>
      <c r="AN27" s="21"/>
      <c r="AO27" s="21">
        <v>0</v>
      </c>
      <c r="AP27" s="21"/>
      <c r="AQ27" s="21">
        <v>0</v>
      </c>
      <c r="AR27" s="21"/>
      <c r="AS27" s="21">
        <v>0</v>
      </c>
      <c r="AT27" s="21"/>
      <c r="AU27" s="21">
        <v>0</v>
      </c>
      <c r="AV27" s="21"/>
      <c r="AW27" s="21">
        <v>0</v>
      </c>
      <c r="AX27" s="21"/>
      <c r="AY27" s="21">
        <v>0</v>
      </c>
      <c r="AZ27" s="21"/>
      <c r="BA27" s="21">
        <v>0</v>
      </c>
      <c r="BB27" s="21"/>
      <c r="BC27" s="21">
        <v>0</v>
      </c>
      <c r="BD27" s="21"/>
      <c r="BE27" s="21">
        <v>0</v>
      </c>
      <c r="BF27" s="21"/>
      <c r="BG27" s="21">
        <v>0</v>
      </c>
      <c r="BH27" s="21"/>
      <c r="BI27" s="21">
        <v>0</v>
      </c>
      <c r="BJ27" s="21"/>
      <c r="BK27" s="21">
        <v>0</v>
      </c>
      <c r="BL27" s="21"/>
      <c r="BM27" s="21">
        <v>0</v>
      </c>
      <c r="BN27" s="21"/>
      <c r="BO27" s="21">
        <v>0</v>
      </c>
      <c r="BP27" s="21">
        <f>0.74178*1000</f>
        <v>741.78</v>
      </c>
      <c r="BQ27" s="21">
        <v>0</v>
      </c>
      <c r="BR27" s="21"/>
      <c r="BS27" s="21">
        <v>0</v>
      </c>
      <c r="BT27" s="7" t="s">
        <v>61</v>
      </c>
    </row>
    <row r="28" spans="2:72" x14ac:dyDescent="0.25">
      <c r="B28" s="7"/>
      <c r="C28" s="7" t="s">
        <v>131</v>
      </c>
      <c r="D28" s="7">
        <v>5</v>
      </c>
      <c r="E28" s="11" t="s">
        <v>56</v>
      </c>
      <c r="F28" s="7">
        <f>0.0925*1000</f>
        <v>92.5</v>
      </c>
      <c r="G28" s="21">
        <v>0</v>
      </c>
      <c r="H28" s="7">
        <v>0</v>
      </c>
      <c r="I28" s="7">
        <v>0</v>
      </c>
      <c r="J28" s="7"/>
      <c r="K28" s="7">
        <v>0</v>
      </c>
      <c r="L28" s="7"/>
      <c r="M28" s="21">
        <v>0</v>
      </c>
      <c r="N28" s="7"/>
      <c r="O28" s="21">
        <v>0</v>
      </c>
      <c r="P28" s="21">
        <f>0.03*1000</f>
        <v>30</v>
      </c>
      <c r="Q28" s="21">
        <v>0</v>
      </c>
      <c r="R28" s="21"/>
      <c r="S28" s="21">
        <v>0</v>
      </c>
      <c r="T28" s="21">
        <f>0.01938*1000</f>
        <v>19.380000000000003</v>
      </c>
      <c r="U28" s="21">
        <v>0</v>
      </c>
      <c r="V28" s="21"/>
      <c r="W28" s="21">
        <v>0</v>
      </c>
      <c r="X28" s="7"/>
      <c r="Y28" s="21">
        <v>0</v>
      </c>
      <c r="Z28" s="7"/>
      <c r="AA28" s="21">
        <v>0</v>
      </c>
      <c r="AB28" s="7"/>
      <c r="AC28" s="21">
        <v>0</v>
      </c>
      <c r="AD28" s="7"/>
      <c r="AE28" s="21">
        <v>0</v>
      </c>
      <c r="AF28" s="21"/>
      <c r="AG28" s="21">
        <v>0</v>
      </c>
      <c r="AH28" s="21"/>
      <c r="AI28" s="21">
        <v>0</v>
      </c>
      <c r="AJ28" s="21"/>
      <c r="AK28" s="21">
        <v>0</v>
      </c>
      <c r="AL28" s="21"/>
      <c r="AM28" s="21">
        <v>0</v>
      </c>
      <c r="AN28" s="21"/>
      <c r="AO28" s="21">
        <v>0</v>
      </c>
      <c r="AP28" s="21"/>
      <c r="AQ28" s="21">
        <v>0</v>
      </c>
      <c r="AR28" s="21"/>
      <c r="AS28" s="21">
        <v>0</v>
      </c>
      <c r="AT28" s="21"/>
      <c r="AU28" s="21">
        <v>0</v>
      </c>
      <c r="AV28" s="21"/>
      <c r="AW28" s="21">
        <v>0</v>
      </c>
      <c r="AX28" s="21"/>
      <c r="AY28" s="21">
        <v>0</v>
      </c>
      <c r="AZ28" s="21"/>
      <c r="BA28" s="21">
        <v>0</v>
      </c>
      <c r="BB28" s="21"/>
      <c r="BC28" s="21">
        <v>0</v>
      </c>
      <c r="BD28" s="21"/>
      <c r="BE28" s="21">
        <v>0</v>
      </c>
      <c r="BF28" s="21"/>
      <c r="BG28" s="21">
        <v>0</v>
      </c>
      <c r="BH28" s="21"/>
      <c r="BI28" s="21">
        <v>0</v>
      </c>
      <c r="BJ28" s="21"/>
      <c r="BK28" s="21">
        <v>0</v>
      </c>
      <c r="BL28" s="21"/>
      <c r="BM28" s="21">
        <v>0</v>
      </c>
      <c r="BN28" s="21"/>
      <c r="BO28" s="21">
        <v>0</v>
      </c>
      <c r="BP28" s="21">
        <f>0.07393*1000</f>
        <v>73.929999999999993</v>
      </c>
      <c r="BQ28" s="21">
        <v>0</v>
      </c>
      <c r="BR28" s="21"/>
      <c r="BS28" s="21">
        <v>0</v>
      </c>
      <c r="BT28" s="7" t="s">
        <v>61</v>
      </c>
    </row>
    <row r="29" spans="2:72" x14ac:dyDescent="0.25">
      <c r="B29" s="7"/>
      <c r="C29" s="7" t="s">
        <v>130</v>
      </c>
      <c r="D29" s="7">
        <v>5</v>
      </c>
      <c r="E29" s="11" t="s">
        <v>57</v>
      </c>
      <c r="F29" s="7">
        <v>0</v>
      </c>
      <c r="G29" s="21">
        <v>0</v>
      </c>
      <c r="H29" s="7">
        <v>0</v>
      </c>
      <c r="I29" s="7">
        <v>0</v>
      </c>
      <c r="J29" s="7"/>
      <c r="K29" s="7">
        <v>0</v>
      </c>
      <c r="L29" s="7"/>
      <c r="M29" s="21">
        <v>0</v>
      </c>
      <c r="N29" s="7"/>
      <c r="O29" s="21">
        <v>0</v>
      </c>
      <c r="P29" s="21">
        <f>0.00083*1000</f>
        <v>0.83</v>
      </c>
      <c r="Q29" s="21">
        <v>0</v>
      </c>
      <c r="R29" s="21"/>
      <c r="S29" s="21">
        <v>0</v>
      </c>
      <c r="T29" s="21">
        <f>0.000536*1000</f>
        <v>0.53600000000000003</v>
      </c>
      <c r="U29" s="21">
        <v>0</v>
      </c>
      <c r="V29" s="21"/>
      <c r="W29" s="21">
        <v>0</v>
      </c>
      <c r="X29" s="7"/>
      <c r="Y29" s="21">
        <v>0</v>
      </c>
      <c r="Z29" s="7"/>
      <c r="AA29" s="21">
        <v>0</v>
      </c>
      <c r="AB29" s="7"/>
      <c r="AC29" s="21">
        <v>0</v>
      </c>
      <c r="AD29" s="7"/>
      <c r="AE29" s="21">
        <v>0</v>
      </c>
      <c r="AF29" s="21"/>
      <c r="AG29" s="21">
        <v>0</v>
      </c>
      <c r="AH29" s="21"/>
      <c r="AI29" s="21">
        <v>0</v>
      </c>
      <c r="AJ29" s="21"/>
      <c r="AK29" s="21">
        <v>0</v>
      </c>
      <c r="AL29" s="21"/>
      <c r="AM29" s="21">
        <v>0</v>
      </c>
      <c r="AN29" s="21"/>
      <c r="AO29" s="21">
        <v>0</v>
      </c>
      <c r="AP29" s="21"/>
      <c r="AQ29" s="21">
        <v>0</v>
      </c>
      <c r="AR29" s="21"/>
      <c r="AS29" s="21">
        <v>0</v>
      </c>
      <c r="AT29" s="21"/>
      <c r="AU29" s="21">
        <v>0</v>
      </c>
      <c r="AV29" s="21"/>
      <c r="AW29" s="21">
        <v>0</v>
      </c>
      <c r="AX29" s="21"/>
      <c r="AY29" s="21">
        <v>0</v>
      </c>
      <c r="AZ29" s="21"/>
      <c r="BA29" s="21">
        <v>0</v>
      </c>
      <c r="BB29" s="21"/>
      <c r="BC29" s="21">
        <v>0</v>
      </c>
      <c r="BD29" s="21"/>
      <c r="BE29" s="21">
        <v>0</v>
      </c>
      <c r="BF29" s="21"/>
      <c r="BG29" s="21">
        <v>0</v>
      </c>
      <c r="BH29" s="21"/>
      <c r="BI29" s="21">
        <v>0</v>
      </c>
      <c r="BJ29" s="21"/>
      <c r="BK29" s="21">
        <v>0</v>
      </c>
      <c r="BL29" s="21"/>
      <c r="BM29" s="21">
        <v>0</v>
      </c>
      <c r="BN29" s="21"/>
      <c r="BO29" s="21">
        <v>0</v>
      </c>
      <c r="BP29" s="21"/>
      <c r="BQ29" s="21">
        <v>0</v>
      </c>
      <c r="BR29" s="21"/>
      <c r="BS29" s="21">
        <v>0</v>
      </c>
      <c r="BT29" s="7" t="s">
        <v>61</v>
      </c>
    </row>
    <row r="30" spans="2:72" hidden="1" x14ac:dyDescent="0.25">
      <c r="B30" s="7"/>
      <c r="C30" s="7"/>
      <c r="D30" s="7"/>
      <c r="E30" s="11" t="s">
        <v>80</v>
      </c>
      <c r="F30" s="7">
        <f>0.03384*1000</f>
        <v>33.840000000000003</v>
      </c>
      <c r="G30" s="21">
        <v>0</v>
      </c>
      <c r="H30" s="7">
        <v>0</v>
      </c>
      <c r="I30" s="7">
        <v>0</v>
      </c>
      <c r="J30" s="7"/>
      <c r="K30" s="7">
        <v>0</v>
      </c>
      <c r="L30" s="7"/>
      <c r="M30" s="21">
        <v>0</v>
      </c>
      <c r="N30" s="7"/>
      <c r="O30" s="21">
        <v>0</v>
      </c>
      <c r="P30" s="21"/>
      <c r="Q30" s="21">
        <v>0</v>
      </c>
      <c r="R30" s="21"/>
      <c r="S30" s="21">
        <v>0</v>
      </c>
      <c r="T30" s="21"/>
      <c r="U30" s="21">
        <v>0</v>
      </c>
      <c r="V30" s="21"/>
      <c r="W30" s="21">
        <v>0</v>
      </c>
      <c r="X30" s="7"/>
      <c r="Y30" s="21">
        <v>0</v>
      </c>
      <c r="Z30" s="7"/>
      <c r="AA30" s="21">
        <v>0</v>
      </c>
      <c r="AB30" s="7"/>
      <c r="AC30" s="21">
        <v>0</v>
      </c>
      <c r="AD30" s="7"/>
      <c r="AE30" s="21">
        <v>0</v>
      </c>
      <c r="AF30" s="21"/>
      <c r="AG30" s="21">
        <v>0</v>
      </c>
      <c r="AH30" s="21"/>
      <c r="AI30" s="21">
        <v>0</v>
      </c>
      <c r="AJ30" s="21"/>
      <c r="AK30" s="21">
        <v>0</v>
      </c>
      <c r="AL30" s="21"/>
      <c r="AM30" s="21">
        <v>0</v>
      </c>
      <c r="AN30" s="21"/>
      <c r="AO30" s="21">
        <v>0</v>
      </c>
      <c r="AP30" s="21"/>
      <c r="AQ30" s="21">
        <v>0</v>
      </c>
      <c r="AR30" s="21"/>
      <c r="AS30" s="21">
        <v>0</v>
      </c>
      <c r="AT30" s="21"/>
      <c r="AU30" s="21">
        <v>0</v>
      </c>
      <c r="AV30" s="21"/>
      <c r="AW30" s="21">
        <v>0</v>
      </c>
      <c r="AX30" s="21"/>
      <c r="AY30" s="21">
        <v>0</v>
      </c>
      <c r="AZ30" s="21"/>
      <c r="BA30" s="21">
        <v>0</v>
      </c>
      <c r="BB30" s="21"/>
      <c r="BC30" s="21">
        <v>0</v>
      </c>
      <c r="BD30" s="21"/>
      <c r="BE30" s="21">
        <v>0</v>
      </c>
      <c r="BF30" s="21"/>
      <c r="BG30" s="21">
        <v>0</v>
      </c>
      <c r="BH30" s="21"/>
      <c r="BI30" s="21">
        <v>0</v>
      </c>
      <c r="BJ30" s="21"/>
      <c r="BK30" s="21">
        <v>0</v>
      </c>
      <c r="BL30" s="21"/>
      <c r="BM30" s="21">
        <v>0</v>
      </c>
      <c r="BN30" s="21"/>
      <c r="BO30" s="21">
        <v>0</v>
      </c>
      <c r="BP30" s="21">
        <f>0.012118*1000</f>
        <v>12.118</v>
      </c>
      <c r="BQ30" s="21">
        <v>0</v>
      </c>
      <c r="BR30" s="21"/>
      <c r="BS30" s="21"/>
      <c r="BT30" s="7" t="s">
        <v>61</v>
      </c>
    </row>
    <row r="31" spans="2:72" hidden="1" x14ac:dyDescent="0.25">
      <c r="B31" s="7"/>
      <c r="C31" s="7"/>
      <c r="D31" s="7"/>
      <c r="E31" s="11" t="s">
        <v>81</v>
      </c>
      <c r="F31" s="7">
        <f>0.0451*1000</f>
        <v>45.1</v>
      </c>
      <c r="G31" s="21">
        <v>0</v>
      </c>
      <c r="H31" s="7">
        <v>0</v>
      </c>
      <c r="I31" s="7">
        <v>0</v>
      </c>
      <c r="J31" s="7"/>
      <c r="K31" s="7">
        <v>0</v>
      </c>
      <c r="L31" s="7"/>
      <c r="M31" s="21">
        <v>0</v>
      </c>
      <c r="N31" s="7"/>
      <c r="O31" s="21">
        <v>0</v>
      </c>
      <c r="P31" s="21"/>
      <c r="Q31" s="21">
        <v>0</v>
      </c>
      <c r="R31" s="21"/>
      <c r="S31" s="21">
        <v>0</v>
      </c>
      <c r="T31" s="21"/>
      <c r="U31" s="21">
        <v>0</v>
      </c>
      <c r="V31" s="21"/>
      <c r="W31" s="21">
        <v>0</v>
      </c>
      <c r="X31" s="7"/>
      <c r="Y31" s="21">
        <v>0</v>
      </c>
      <c r="Z31" s="7"/>
      <c r="AA31" s="21">
        <v>0</v>
      </c>
      <c r="AB31" s="7"/>
      <c r="AC31" s="21">
        <v>0</v>
      </c>
      <c r="AD31" s="7"/>
      <c r="AE31" s="21">
        <v>0</v>
      </c>
      <c r="AF31" s="21"/>
      <c r="AG31" s="21">
        <v>0</v>
      </c>
      <c r="AH31" s="21"/>
      <c r="AI31" s="21">
        <v>0</v>
      </c>
      <c r="AJ31" s="21"/>
      <c r="AK31" s="21">
        <v>0</v>
      </c>
      <c r="AL31" s="21"/>
      <c r="AM31" s="21">
        <v>0</v>
      </c>
      <c r="AN31" s="21"/>
      <c r="AO31" s="21">
        <v>0</v>
      </c>
      <c r="AP31" s="21"/>
      <c r="AQ31" s="21">
        <v>0</v>
      </c>
      <c r="AR31" s="21"/>
      <c r="AS31" s="21">
        <v>0</v>
      </c>
      <c r="AT31" s="21"/>
      <c r="AU31" s="21">
        <v>0</v>
      </c>
      <c r="AV31" s="21"/>
      <c r="AW31" s="21">
        <v>0</v>
      </c>
      <c r="AX31" s="21"/>
      <c r="AY31" s="21">
        <v>0</v>
      </c>
      <c r="AZ31" s="21"/>
      <c r="BA31" s="21">
        <v>0</v>
      </c>
      <c r="BB31" s="21"/>
      <c r="BC31" s="21">
        <v>0</v>
      </c>
      <c r="BD31" s="21"/>
      <c r="BE31" s="21">
        <v>0</v>
      </c>
      <c r="BF31" s="21"/>
      <c r="BG31" s="21">
        <v>0</v>
      </c>
      <c r="BH31" s="21"/>
      <c r="BI31" s="21">
        <v>0</v>
      </c>
      <c r="BJ31" s="21"/>
      <c r="BK31" s="21">
        <v>0</v>
      </c>
      <c r="BL31" s="21"/>
      <c r="BM31" s="21">
        <v>0</v>
      </c>
      <c r="BN31" s="21"/>
      <c r="BO31" s="21">
        <v>0</v>
      </c>
      <c r="BP31" s="21">
        <f>0.01231*1000</f>
        <v>12.31</v>
      </c>
      <c r="BQ31" s="21">
        <v>0</v>
      </c>
      <c r="BR31" s="21"/>
      <c r="BS31" s="21"/>
      <c r="BT31" s="7" t="s">
        <v>61</v>
      </c>
    </row>
    <row r="32" spans="2:72" hidden="1" x14ac:dyDescent="0.25">
      <c r="B32" s="7"/>
      <c r="C32" s="7"/>
      <c r="D32" s="7"/>
      <c r="E32" s="11" t="s">
        <v>82</v>
      </c>
      <c r="F32" s="7">
        <f>0.01805*1000</f>
        <v>18.05</v>
      </c>
      <c r="G32" s="21">
        <v>0</v>
      </c>
      <c r="H32" s="7">
        <v>0</v>
      </c>
      <c r="I32" s="7">
        <v>0</v>
      </c>
      <c r="J32" s="7"/>
      <c r="K32" s="7">
        <v>0</v>
      </c>
      <c r="L32" s="7"/>
      <c r="M32" s="21">
        <v>0</v>
      </c>
      <c r="N32" s="7"/>
      <c r="O32" s="21">
        <v>0</v>
      </c>
      <c r="P32" s="21"/>
      <c r="Q32" s="21">
        <v>0</v>
      </c>
      <c r="R32" s="21"/>
      <c r="S32" s="21">
        <v>0</v>
      </c>
      <c r="T32" s="21"/>
      <c r="U32" s="21">
        <v>0</v>
      </c>
      <c r="V32" s="21"/>
      <c r="W32" s="21">
        <v>0</v>
      </c>
      <c r="X32" s="7"/>
      <c r="Y32" s="21">
        <v>0</v>
      </c>
      <c r="Z32" s="7"/>
      <c r="AA32" s="21">
        <v>0</v>
      </c>
      <c r="AB32" s="7"/>
      <c r="AC32" s="21">
        <v>0</v>
      </c>
      <c r="AD32" s="7"/>
      <c r="AE32" s="21">
        <v>0</v>
      </c>
      <c r="AF32" s="21"/>
      <c r="AG32" s="21">
        <v>0</v>
      </c>
      <c r="AH32" s="21"/>
      <c r="AI32" s="21">
        <v>0</v>
      </c>
      <c r="AJ32" s="21"/>
      <c r="AK32" s="21">
        <v>0</v>
      </c>
      <c r="AL32" s="21"/>
      <c r="AM32" s="21">
        <v>0</v>
      </c>
      <c r="AN32" s="21"/>
      <c r="AO32" s="21">
        <v>0</v>
      </c>
      <c r="AP32" s="21"/>
      <c r="AQ32" s="21">
        <v>0</v>
      </c>
      <c r="AR32" s="21"/>
      <c r="AS32" s="21">
        <v>0</v>
      </c>
      <c r="AT32" s="21"/>
      <c r="AU32" s="21">
        <v>0</v>
      </c>
      <c r="AV32" s="21"/>
      <c r="AW32" s="21">
        <v>0</v>
      </c>
      <c r="AX32" s="21"/>
      <c r="AY32" s="21">
        <v>0</v>
      </c>
      <c r="AZ32" s="21"/>
      <c r="BA32" s="21">
        <v>0</v>
      </c>
      <c r="BB32" s="21"/>
      <c r="BC32" s="21">
        <v>0</v>
      </c>
      <c r="BD32" s="21"/>
      <c r="BE32" s="21">
        <v>0</v>
      </c>
      <c r="BF32" s="21"/>
      <c r="BG32" s="21">
        <v>0</v>
      </c>
      <c r="BH32" s="21"/>
      <c r="BI32" s="21">
        <v>0</v>
      </c>
      <c r="BJ32" s="21"/>
      <c r="BK32" s="21">
        <v>0</v>
      </c>
      <c r="BL32" s="21"/>
      <c r="BM32" s="21">
        <v>0</v>
      </c>
      <c r="BN32" s="21"/>
      <c r="BO32" s="21">
        <v>0</v>
      </c>
      <c r="BP32" s="21">
        <f>0.00601*1000</f>
        <v>6.01</v>
      </c>
      <c r="BQ32" s="21">
        <v>0</v>
      </c>
      <c r="BR32" s="21"/>
      <c r="BS32" s="21"/>
      <c r="BT32" s="7" t="s">
        <v>61</v>
      </c>
    </row>
    <row r="33" spans="2:72" hidden="1" x14ac:dyDescent="0.25">
      <c r="B33" s="7"/>
      <c r="C33" s="7"/>
      <c r="D33" s="7"/>
      <c r="E33" s="11" t="s">
        <v>83</v>
      </c>
      <c r="F33" s="7">
        <f>0.01805*1000</f>
        <v>18.05</v>
      </c>
      <c r="G33" s="21">
        <v>0</v>
      </c>
      <c r="H33" s="7">
        <v>0</v>
      </c>
      <c r="I33" s="7">
        <v>0</v>
      </c>
      <c r="J33" s="7"/>
      <c r="K33" s="7">
        <v>0</v>
      </c>
      <c r="L33" s="7"/>
      <c r="M33" s="21">
        <v>0</v>
      </c>
      <c r="N33" s="7"/>
      <c r="O33" s="21">
        <v>0</v>
      </c>
      <c r="P33" s="21"/>
      <c r="Q33" s="21">
        <v>0</v>
      </c>
      <c r="R33" s="21"/>
      <c r="S33" s="21">
        <v>0</v>
      </c>
      <c r="T33" s="21"/>
      <c r="U33" s="21">
        <v>0</v>
      </c>
      <c r="V33" s="21"/>
      <c r="W33" s="21">
        <v>0</v>
      </c>
      <c r="X33" s="7"/>
      <c r="Y33" s="21">
        <v>0</v>
      </c>
      <c r="Z33" s="7"/>
      <c r="AA33" s="21">
        <v>0</v>
      </c>
      <c r="AB33" s="7"/>
      <c r="AC33" s="21">
        <v>0</v>
      </c>
      <c r="AD33" s="7"/>
      <c r="AE33" s="21">
        <v>0</v>
      </c>
      <c r="AF33" s="21"/>
      <c r="AG33" s="21">
        <v>0</v>
      </c>
      <c r="AH33" s="21"/>
      <c r="AI33" s="21">
        <v>0</v>
      </c>
      <c r="AJ33" s="21"/>
      <c r="AK33" s="21">
        <v>0</v>
      </c>
      <c r="AL33" s="21"/>
      <c r="AM33" s="21">
        <v>0</v>
      </c>
      <c r="AN33" s="21"/>
      <c r="AO33" s="21">
        <v>0</v>
      </c>
      <c r="AP33" s="21"/>
      <c r="AQ33" s="21">
        <v>0</v>
      </c>
      <c r="AR33" s="21"/>
      <c r="AS33" s="21">
        <v>0</v>
      </c>
      <c r="AT33" s="21"/>
      <c r="AU33" s="21">
        <v>0</v>
      </c>
      <c r="AV33" s="21"/>
      <c r="AW33" s="21">
        <v>0</v>
      </c>
      <c r="AX33" s="21"/>
      <c r="AY33" s="21">
        <v>0</v>
      </c>
      <c r="AZ33" s="21"/>
      <c r="BA33" s="21">
        <v>0</v>
      </c>
      <c r="BB33" s="21"/>
      <c r="BC33" s="21">
        <v>0</v>
      </c>
      <c r="BD33" s="21"/>
      <c r="BE33" s="21">
        <v>0</v>
      </c>
      <c r="BF33" s="21"/>
      <c r="BG33" s="21">
        <v>0</v>
      </c>
      <c r="BH33" s="21"/>
      <c r="BI33" s="21">
        <v>0</v>
      </c>
      <c r="BJ33" s="21"/>
      <c r="BK33" s="21">
        <v>0</v>
      </c>
      <c r="BL33" s="21"/>
      <c r="BM33" s="21">
        <v>0</v>
      </c>
      <c r="BN33" s="21"/>
      <c r="BO33" s="21">
        <v>0</v>
      </c>
      <c r="BP33" s="21">
        <f>0.02297*1000</f>
        <v>22.970000000000002</v>
      </c>
      <c r="BQ33" s="21">
        <v>0</v>
      </c>
      <c r="BR33" s="21"/>
      <c r="BS33" s="21"/>
      <c r="BT33" s="7" t="s">
        <v>61</v>
      </c>
    </row>
    <row r="34" spans="2:72" hidden="1" x14ac:dyDescent="0.25">
      <c r="B34" s="7"/>
      <c r="C34" s="7"/>
      <c r="D34" s="7"/>
      <c r="E34" s="11" t="s">
        <v>84</v>
      </c>
      <c r="F34" s="7">
        <f>0.01805*1000</f>
        <v>18.05</v>
      </c>
      <c r="G34" s="21">
        <v>0</v>
      </c>
      <c r="H34" s="7">
        <v>0</v>
      </c>
      <c r="I34" s="7">
        <v>0</v>
      </c>
      <c r="J34" s="7"/>
      <c r="K34" s="7">
        <v>0</v>
      </c>
      <c r="L34" s="7"/>
      <c r="M34" s="21">
        <v>0</v>
      </c>
      <c r="N34" s="7"/>
      <c r="O34" s="21">
        <v>0</v>
      </c>
      <c r="P34" s="21"/>
      <c r="Q34" s="21">
        <v>0</v>
      </c>
      <c r="R34" s="21"/>
      <c r="S34" s="21">
        <v>0</v>
      </c>
      <c r="T34" s="21"/>
      <c r="U34" s="21">
        <v>0</v>
      </c>
      <c r="V34" s="21"/>
      <c r="W34" s="21">
        <v>0</v>
      </c>
      <c r="X34" s="7"/>
      <c r="Y34" s="21">
        <v>0</v>
      </c>
      <c r="Z34" s="7"/>
      <c r="AA34" s="21">
        <v>0</v>
      </c>
      <c r="AB34" s="7"/>
      <c r="AC34" s="21">
        <v>0</v>
      </c>
      <c r="AD34" s="7"/>
      <c r="AE34" s="21">
        <v>0</v>
      </c>
      <c r="AF34" s="21"/>
      <c r="AG34" s="21">
        <v>0</v>
      </c>
      <c r="AH34" s="21"/>
      <c r="AI34" s="21">
        <v>0</v>
      </c>
      <c r="AJ34" s="21"/>
      <c r="AK34" s="21">
        <v>0</v>
      </c>
      <c r="AL34" s="21"/>
      <c r="AM34" s="21">
        <v>0</v>
      </c>
      <c r="AN34" s="21"/>
      <c r="AO34" s="21">
        <v>0</v>
      </c>
      <c r="AP34" s="21"/>
      <c r="AQ34" s="21">
        <v>0</v>
      </c>
      <c r="AR34" s="21"/>
      <c r="AS34" s="21">
        <v>0</v>
      </c>
      <c r="AT34" s="21"/>
      <c r="AU34" s="21">
        <v>0</v>
      </c>
      <c r="AV34" s="21"/>
      <c r="AW34" s="21">
        <v>0</v>
      </c>
      <c r="AX34" s="21"/>
      <c r="AY34" s="21">
        <v>0</v>
      </c>
      <c r="AZ34" s="21"/>
      <c r="BA34" s="21">
        <v>0</v>
      </c>
      <c r="BB34" s="21"/>
      <c r="BC34" s="21">
        <v>0</v>
      </c>
      <c r="BD34" s="21"/>
      <c r="BE34" s="21">
        <v>0</v>
      </c>
      <c r="BF34" s="21"/>
      <c r="BG34" s="21">
        <v>0</v>
      </c>
      <c r="BH34" s="21"/>
      <c r="BI34" s="21">
        <v>0</v>
      </c>
      <c r="BJ34" s="21"/>
      <c r="BK34" s="21">
        <v>0</v>
      </c>
      <c r="BL34" s="21"/>
      <c r="BM34" s="21">
        <v>0</v>
      </c>
      <c r="BN34" s="21"/>
      <c r="BO34" s="21">
        <v>0</v>
      </c>
      <c r="BP34" s="21">
        <f>0.031357*1000</f>
        <v>31.357000000000003</v>
      </c>
      <c r="BQ34" s="21">
        <v>0</v>
      </c>
      <c r="BR34" s="21"/>
      <c r="BS34" s="21"/>
      <c r="BT34" s="7" t="s">
        <v>61</v>
      </c>
    </row>
    <row r="35" spans="2:72" hidden="1" x14ac:dyDescent="0.25">
      <c r="B35" s="7"/>
      <c r="C35" s="7"/>
      <c r="D35" s="7"/>
      <c r="E35" s="11" t="s">
        <v>85</v>
      </c>
      <c r="F35" s="7">
        <f>3.2638*1000</f>
        <v>3263.7999999999997</v>
      </c>
      <c r="G35" s="21">
        <v>0</v>
      </c>
      <c r="H35" s="7">
        <v>0</v>
      </c>
      <c r="I35" s="7">
        <v>0</v>
      </c>
      <c r="J35" s="7"/>
      <c r="K35" s="7">
        <v>0</v>
      </c>
      <c r="L35" s="7"/>
      <c r="M35" s="21">
        <v>0</v>
      </c>
      <c r="N35" s="7"/>
      <c r="O35" s="21">
        <v>0</v>
      </c>
      <c r="P35" s="21"/>
      <c r="Q35" s="21">
        <v>0</v>
      </c>
      <c r="R35" s="21"/>
      <c r="S35" s="21">
        <v>0</v>
      </c>
      <c r="T35" s="21"/>
      <c r="U35" s="21">
        <v>0</v>
      </c>
      <c r="V35" s="21"/>
      <c r="W35" s="21">
        <v>0</v>
      </c>
      <c r="X35" s="7"/>
      <c r="Y35" s="21">
        <v>0</v>
      </c>
      <c r="Z35" s="7"/>
      <c r="AA35" s="21">
        <v>0</v>
      </c>
      <c r="AB35" s="7"/>
      <c r="AC35" s="21">
        <v>0</v>
      </c>
      <c r="AD35" s="7"/>
      <c r="AE35" s="21">
        <v>0</v>
      </c>
      <c r="AF35" s="21"/>
      <c r="AG35" s="21">
        <v>0</v>
      </c>
      <c r="AH35" s="21"/>
      <c r="AI35" s="21">
        <v>0</v>
      </c>
      <c r="AJ35" s="21"/>
      <c r="AK35" s="21">
        <v>0</v>
      </c>
      <c r="AL35" s="21"/>
      <c r="AM35" s="21">
        <v>0</v>
      </c>
      <c r="AN35" s="21"/>
      <c r="AO35" s="21">
        <v>0</v>
      </c>
      <c r="AP35" s="21"/>
      <c r="AQ35" s="21">
        <v>0</v>
      </c>
      <c r="AR35" s="21"/>
      <c r="AS35" s="21">
        <v>0</v>
      </c>
      <c r="AT35" s="21"/>
      <c r="AU35" s="21">
        <v>0</v>
      </c>
      <c r="AV35" s="21"/>
      <c r="AW35" s="21">
        <v>0</v>
      </c>
      <c r="AX35" s="21"/>
      <c r="AY35" s="21">
        <v>0</v>
      </c>
      <c r="AZ35" s="21"/>
      <c r="BA35" s="21">
        <v>0</v>
      </c>
      <c r="BB35" s="21"/>
      <c r="BC35" s="21">
        <v>0</v>
      </c>
      <c r="BD35" s="21"/>
      <c r="BE35" s="21">
        <v>0</v>
      </c>
      <c r="BF35" s="21"/>
      <c r="BG35" s="21">
        <v>0</v>
      </c>
      <c r="BH35" s="21"/>
      <c r="BI35" s="21">
        <v>0</v>
      </c>
      <c r="BJ35" s="21"/>
      <c r="BK35" s="21">
        <v>0</v>
      </c>
      <c r="BL35" s="21"/>
      <c r="BM35" s="21">
        <v>0</v>
      </c>
      <c r="BN35" s="21"/>
      <c r="BO35" s="21">
        <v>0</v>
      </c>
      <c r="BP35" s="21">
        <f>0.7159*1000</f>
        <v>715.9</v>
      </c>
      <c r="BQ35" s="21">
        <v>0</v>
      </c>
      <c r="BR35" s="21"/>
      <c r="BS35" s="21"/>
      <c r="BT35" s="7" t="s">
        <v>61</v>
      </c>
    </row>
    <row r="36" spans="2:72" ht="30" x14ac:dyDescent="0.25">
      <c r="B36" s="7"/>
      <c r="C36" s="7"/>
      <c r="D36" s="7"/>
      <c r="E36" s="11" t="s">
        <v>58</v>
      </c>
      <c r="F36" s="7">
        <f>0.3539*1000</f>
        <v>353.9</v>
      </c>
      <c r="G36" s="21">
        <v>0</v>
      </c>
      <c r="H36" s="7">
        <f>0.000484*1000</f>
        <v>0.48399999999999999</v>
      </c>
      <c r="I36" s="7">
        <v>0</v>
      </c>
      <c r="J36" s="7">
        <f>0.000484*1000</f>
        <v>0.48399999999999999</v>
      </c>
      <c r="K36" s="7">
        <v>0</v>
      </c>
      <c r="L36" s="7">
        <f>0.0392*1000</f>
        <v>39.199999999999996</v>
      </c>
      <c r="M36" s="21">
        <v>0</v>
      </c>
      <c r="N36" s="7">
        <f>0.0392*1000</f>
        <v>39.199999999999996</v>
      </c>
      <c r="O36" s="21">
        <v>0</v>
      </c>
      <c r="P36" s="21"/>
      <c r="Q36" s="21">
        <v>0</v>
      </c>
      <c r="R36" s="21">
        <f>0.125*1000</f>
        <v>125</v>
      </c>
      <c r="S36" s="21">
        <v>0</v>
      </c>
      <c r="T36" s="21"/>
      <c r="U36" s="21">
        <v>0</v>
      </c>
      <c r="V36" s="21">
        <f>0.1215*1000</f>
        <v>121.5</v>
      </c>
      <c r="W36" s="21">
        <v>0</v>
      </c>
      <c r="X36" s="7"/>
      <c r="Y36" s="21">
        <v>0</v>
      </c>
      <c r="Z36" s="7"/>
      <c r="AA36" s="21">
        <v>0</v>
      </c>
      <c r="AB36" s="7"/>
      <c r="AC36" s="21">
        <v>0</v>
      </c>
      <c r="AD36" s="7"/>
      <c r="AE36" s="21">
        <v>0</v>
      </c>
      <c r="AF36" s="21"/>
      <c r="AG36" s="21">
        <v>0</v>
      </c>
      <c r="AH36" s="21"/>
      <c r="AI36" s="21">
        <v>0</v>
      </c>
      <c r="AJ36" s="21"/>
      <c r="AK36" s="21">
        <v>0</v>
      </c>
      <c r="AL36" s="21"/>
      <c r="AM36" s="21">
        <v>0</v>
      </c>
      <c r="AN36" s="21"/>
      <c r="AO36" s="21">
        <v>0</v>
      </c>
      <c r="AP36" s="21"/>
      <c r="AQ36" s="21">
        <v>0</v>
      </c>
      <c r="AR36" s="21"/>
      <c r="AS36" s="21">
        <v>0</v>
      </c>
      <c r="AT36" s="21"/>
      <c r="AU36" s="21">
        <v>0</v>
      </c>
      <c r="AV36" s="21"/>
      <c r="AW36" s="21">
        <v>0</v>
      </c>
      <c r="AX36" s="21"/>
      <c r="AY36" s="21">
        <v>0</v>
      </c>
      <c r="AZ36" s="21"/>
      <c r="BA36" s="21">
        <v>0</v>
      </c>
      <c r="BB36" s="21"/>
      <c r="BC36" s="21">
        <v>0</v>
      </c>
      <c r="BD36" s="21"/>
      <c r="BE36" s="21">
        <v>0</v>
      </c>
      <c r="BF36" s="21"/>
      <c r="BG36" s="21">
        <v>0</v>
      </c>
      <c r="BH36" s="21"/>
      <c r="BI36" s="21">
        <v>0</v>
      </c>
      <c r="BJ36" s="21"/>
      <c r="BK36" s="21">
        <v>0</v>
      </c>
      <c r="BL36" s="21"/>
      <c r="BM36" s="21">
        <v>0</v>
      </c>
      <c r="BN36" s="21"/>
      <c r="BO36" s="21">
        <v>0</v>
      </c>
      <c r="BP36" s="21"/>
      <c r="BQ36" s="21">
        <v>0</v>
      </c>
      <c r="BR36" s="21"/>
      <c r="BS36" s="21">
        <v>0</v>
      </c>
      <c r="BT36" s="7" t="s">
        <v>61</v>
      </c>
    </row>
    <row r="37" spans="2:72" ht="30" x14ac:dyDescent="0.25">
      <c r="B37" s="7"/>
      <c r="C37" s="7"/>
      <c r="D37" s="7">
        <v>6</v>
      </c>
      <c r="E37" s="11" t="s">
        <v>59</v>
      </c>
      <c r="F37" s="7">
        <f>694.59124*1000</f>
        <v>694591.24</v>
      </c>
      <c r="G37" s="7">
        <v>0</v>
      </c>
      <c r="H37" s="7">
        <f>0.0035666*1000</f>
        <v>3.5666000000000002</v>
      </c>
      <c r="I37" s="7">
        <v>0</v>
      </c>
      <c r="J37" s="7"/>
      <c r="K37" s="7">
        <v>0</v>
      </c>
      <c r="L37" s="7"/>
      <c r="M37" s="21">
        <v>0</v>
      </c>
      <c r="N37" s="7"/>
      <c r="O37" s="21">
        <v>0</v>
      </c>
      <c r="P37" s="21"/>
      <c r="Q37" s="21">
        <v>0</v>
      </c>
      <c r="R37" s="21"/>
      <c r="S37" s="21">
        <v>0</v>
      </c>
      <c r="T37" s="21"/>
      <c r="U37" s="21">
        <v>0</v>
      </c>
      <c r="V37" s="21"/>
      <c r="W37" s="21">
        <v>0</v>
      </c>
      <c r="X37" s="7">
        <f>35.37*1000</f>
        <v>35370</v>
      </c>
      <c r="Y37" s="21">
        <v>0</v>
      </c>
      <c r="Z37" s="7">
        <f>35.3*1000</f>
        <v>35300</v>
      </c>
      <c r="AA37" s="21">
        <v>0</v>
      </c>
      <c r="AB37" s="7">
        <f>14.4768*1000</f>
        <v>14476.800000000001</v>
      </c>
      <c r="AC37" s="21">
        <v>0</v>
      </c>
      <c r="AD37" s="7">
        <f>98.8*1000</f>
        <v>98800</v>
      </c>
      <c r="AE37" s="21">
        <v>0</v>
      </c>
      <c r="AF37" s="21">
        <f>1.99908*1000</f>
        <v>1999.08</v>
      </c>
      <c r="AG37" s="21">
        <v>0</v>
      </c>
      <c r="AH37" s="21">
        <f>1.22121*1000</f>
        <v>1221.2099999999998</v>
      </c>
      <c r="AI37" s="21">
        <v>0</v>
      </c>
      <c r="AJ37" s="21">
        <f>0.0002321*1000</f>
        <v>0.2321</v>
      </c>
      <c r="AK37" s="21">
        <v>0</v>
      </c>
      <c r="AL37" s="21">
        <f>1.424047*1000</f>
        <v>1424.047</v>
      </c>
      <c r="AM37" s="21">
        <v>0</v>
      </c>
      <c r="AN37" s="21">
        <f>0.99641*1000</f>
        <v>996.41</v>
      </c>
      <c r="AO37" s="21">
        <v>0</v>
      </c>
      <c r="AP37" s="21">
        <f>1.662776*1000</f>
        <v>1662.7760000000001</v>
      </c>
      <c r="AQ37" s="21">
        <v>0</v>
      </c>
      <c r="AR37" s="21">
        <f>4.648997*1000</f>
        <v>4648.9969999999994</v>
      </c>
      <c r="AS37" s="21">
        <v>0</v>
      </c>
      <c r="AT37" s="21">
        <f>139.29066*1000</f>
        <v>139290.66</v>
      </c>
      <c r="AU37" s="21">
        <v>0</v>
      </c>
      <c r="AV37" s="21">
        <f>0.52846*1000</f>
        <v>528.46</v>
      </c>
      <c r="AW37" s="21">
        <v>0</v>
      </c>
      <c r="AX37" s="21">
        <f>1.891134*1000</f>
        <v>1891.134</v>
      </c>
      <c r="AY37" s="21">
        <v>0</v>
      </c>
      <c r="AZ37" s="21">
        <f>43.14*1000</f>
        <v>43140</v>
      </c>
      <c r="BA37" s="21">
        <v>0</v>
      </c>
      <c r="BB37" s="21">
        <f>3.92657*1000</f>
        <v>3926.5699999999997</v>
      </c>
      <c r="BC37" s="21">
        <v>0</v>
      </c>
      <c r="BD37" s="21">
        <f>101.4*1000</f>
        <v>101400</v>
      </c>
      <c r="BE37" s="21">
        <v>0</v>
      </c>
      <c r="BF37" s="21">
        <f>28.2*1000</f>
        <v>28200</v>
      </c>
      <c r="BG37" s="21">
        <v>0</v>
      </c>
      <c r="BH37" s="21">
        <f>42.82*1000</f>
        <v>42820</v>
      </c>
      <c r="BI37" s="21">
        <v>0</v>
      </c>
      <c r="BJ37" s="21">
        <f>0.794*1000</f>
        <v>794</v>
      </c>
      <c r="BK37" s="21">
        <v>0</v>
      </c>
      <c r="BL37" s="21">
        <f>0.1986*1000</f>
        <v>198.6</v>
      </c>
      <c r="BM37" s="21">
        <v>0</v>
      </c>
      <c r="BN37" s="21">
        <f>1.07*1000</f>
        <v>1070</v>
      </c>
      <c r="BO37" s="21">
        <v>0</v>
      </c>
      <c r="BP37" s="21"/>
      <c r="BQ37" s="21">
        <v>0</v>
      </c>
      <c r="BR37" s="21">
        <f>26.06333*1000</f>
        <v>26063.33</v>
      </c>
      <c r="BS37" s="21">
        <v>0</v>
      </c>
      <c r="BT37" s="7" t="s">
        <v>61</v>
      </c>
    </row>
    <row r="38" spans="2:72" ht="22.5" customHeight="1" x14ac:dyDescent="0.25">
      <c r="B38" s="56" t="s">
        <v>34</v>
      </c>
      <c r="C38" s="56"/>
      <c r="D38" s="56"/>
      <c r="E38" s="56"/>
      <c r="F38" s="56"/>
      <c r="G38" s="56"/>
      <c r="H38" s="56"/>
      <c r="I38" s="56"/>
      <c r="J38" s="56"/>
      <c r="K38" s="56"/>
      <c r="L38" s="56"/>
      <c r="M38" s="56"/>
      <c r="N38" s="56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</row>
    <row r="39" spans="2:72" ht="59.25" customHeight="1" x14ac:dyDescent="0.25">
      <c r="B39" s="56" t="s">
        <v>35</v>
      </c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</row>
  </sheetData>
  <mergeCells count="43">
    <mergeCell ref="B38:BT38"/>
    <mergeCell ref="B39:BT39"/>
    <mergeCell ref="N5:O5"/>
    <mergeCell ref="P5:Q5"/>
    <mergeCell ref="R5:S5"/>
    <mergeCell ref="T5:U5"/>
    <mergeCell ref="BN5:BO5"/>
    <mergeCell ref="BP5:BQ5"/>
    <mergeCell ref="BT4:BT6"/>
    <mergeCell ref="AH5:AI5"/>
    <mergeCell ref="AL5:AM5"/>
    <mergeCell ref="AN5:AO5"/>
    <mergeCell ref="BF5:BG5"/>
    <mergeCell ref="AP5:AQ5"/>
    <mergeCell ref="B2:BT2"/>
    <mergeCell ref="B3:BT3"/>
    <mergeCell ref="E4:E6"/>
    <mergeCell ref="J5:K5"/>
    <mergeCell ref="H5:I5"/>
    <mergeCell ref="F5:G5"/>
    <mergeCell ref="B4:B6"/>
    <mergeCell ref="C4:C6"/>
    <mergeCell ref="D4:D6"/>
    <mergeCell ref="X5:Y5"/>
    <mergeCell ref="Z5:AA5"/>
    <mergeCell ref="AB5:AC5"/>
    <mergeCell ref="AD5:AE5"/>
    <mergeCell ref="V5:W5"/>
    <mergeCell ref="L5:M5"/>
    <mergeCell ref="AF5:AG5"/>
    <mergeCell ref="F4:BS4"/>
    <mergeCell ref="BR5:BS5"/>
    <mergeCell ref="BB5:BC5"/>
    <mergeCell ref="BD5:BE5"/>
    <mergeCell ref="BH5:BI5"/>
    <mergeCell ref="BJ5:BK5"/>
    <mergeCell ref="BL5:BM5"/>
    <mergeCell ref="AR5:AS5"/>
    <mergeCell ref="AT5:AU5"/>
    <mergeCell ref="AV5:AW5"/>
    <mergeCell ref="AX5:AY5"/>
    <mergeCell ref="AZ5:BA5"/>
    <mergeCell ref="AJ5:AK5"/>
  </mergeCells>
  <pageMargins left="0.7" right="0.7" top="0.75" bottom="0.75" header="0.3" footer="0.3"/>
  <pageSetup paperSize="9" scale="77" fitToWidth="0" orientation="landscape" r:id="rId1"/>
  <colBreaks count="2" manualBreakCount="2">
    <brk id="37" max="38" man="1"/>
    <brk id="51" max="38" man="1"/>
  </col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"/>
  <sheetViews>
    <sheetView workbookViewId="0">
      <selection activeCell="G16" sqref="G16"/>
    </sheetView>
  </sheetViews>
  <sheetFormatPr defaultRowHeight="15" x14ac:dyDescent="0.25"/>
  <cols>
    <col min="6" max="7" width="16.5703125" customWidth="1"/>
    <col min="8" max="8" width="32" customWidth="1"/>
  </cols>
  <sheetData>
    <row r="2" spans="2:8" x14ac:dyDescent="0.25">
      <c r="B2" s="52" t="s">
        <v>133</v>
      </c>
      <c r="C2" s="53"/>
      <c r="D2" s="53"/>
      <c r="E2" s="53"/>
      <c r="F2" s="53"/>
      <c r="G2" s="53"/>
      <c r="H2" s="53"/>
    </row>
    <row r="3" spans="2:8" x14ac:dyDescent="0.25">
      <c r="B3" s="51" t="s">
        <v>0</v>
      </c>
      <c r="C3" s="51" t="s">
        <v>27</v>
      </c>
      <c r="D3" s="51" t="s">
        <v>28</v>
      </c>
      <c r="E3" s="51" t="s">
        <v>29</v>
      </c>
      <c r="F3" s="49" t="s">
        <v>134</v>
      </c>
      <c r="G3" s="63"/>
      <c r="H3" s="64" t="s">
        <v>31</v>
      </c>
    </row>
    <row r="4" spans="2:8" x14ac:dyDescent="0.25">
      <c r="B4" s="51"/>
      <c r="C4" s="51"/>
      <c r="D4" s="51"/>
      <c r="E4" s="51"/>
      <c r="F4" s="51" t="s">
        <v>135</v>
      </c>
      <c r="G4" s="51"/>
      <c r="H4" s="65"/>
    </row>
    <row r="5" spans="2:8" ht="25.5" x14ac:dyDescent="0.25">
      <c r="B5" s="51"/>
      <c r="C5" s="51"/>
      <c r="D5" s="51"/>
      <c r="E5" s="51"/>
      <c r="F5" s="39" t="s">
        <v>32</v>
      </c>
      <c r="G5" s="39" t="s">
        <v>33</v>
      </c>
      <c r="H5" s="66"/>
    </row>
    <row r="6" spans="2:8" x14ac:dyDescent="0.25">
      <c r="B6" s="39">
        <v>1</v>
      </c>
      <c r="C6" s="39">
        <v>2</v>
      </c>
      <c r="D6" s="39">
        <v>3</v>
      </c>
      <c r="E6" s="39">
        <v>4</v>
      </c>
      <c r="F6" s="39">
        <v>5</v>
      </c>
      <c r="G6" s="39">
        <v>6</v>
      </c>
      <c r="H6" s="39">
        <v>11</v>
      </c>
    </row>
    <row r="7" spans="2:8" x14ac:dyDescent="0.25">
      <c r="B7" s="60" t="s">
        <v>136</v>
      </c>
      <c r="C7" s="61"/>
      <c r="D7" s="61"/>
      <c r="E7" s="61"/>
      <c r="F7" s="61"/>
      <c r="G7" s="61"/>
      <c r="H7" s="62"/>
    </row>
  </sheetData>
  <mergeCells count="9">
    <mergeCell ref="B7:H7"/>
    <mergeCell ref="B2:H2"/>
    <mergeCell ref="B3:B5"/>
    <mergeCell ref="C3:C5"/>
    <mergeCell ref="D3:D5"/>
    <mergeCell ref="E3:E5"/>
    <mergeCell ref="F3:G3"/>
    <mergeCell ref="H3:H5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F6"/>
  <sheetViews>
    <sheetView workbookViewId="0">
      <selection activeCell="B6" sqref="B6:F6"/>
    </sheetView>
  </sheetViews>
  <sheetFormatPr defaultRowHeight="15" x14ac:dyDescent="0.25"/>
  <cols>
    <col min="1" max="2" width="9.140625" style="6"/>
    <col min="3" max="3" width="25.28515625" style="6" customWidth="1"/>
    <col min="4" max="4" width="20.28515625" style="6" customWidth="1"/>
    <col min="5" max="5" width="18.5703125" style="6" customWidth="1"/>
    <col min="6" max="6" width="17.28515625" style="6" customWidth="1"/>
    <col min="7" max="16384" width="9.140625" style="6"/>
  </cols>
  <sheetData>
    <row r="3" spans="2:6" x14ac:dyDescent="0.25">
      <c r="B3" s="67" t="s">
        <v>36</v>
      </c>
      <c r="C3" s="67"/>
      <c r="D3" s="67"/>
      <c r="E3" s="67"/>
      <c r="F3" s="67"/>
    </row>
    <row r="4" spans="2:6" ht="43.5" x14ac:dyDescent="0.25">
      <c r="B4" s="5" t="s">
        <v>1</v>
      </c>
      <c r="C4" s="3" t="s">
        <v>43</v>
      </c>
      <c r="D4" s="3" t="s">
        <v>47</v>
      </c>
      <c r="E4" s="3" t="s">
        <v>44</v>
      </c>
      <c r="F4" s="3" t="s">
        <v>45</v>
      </c>
    </row>
    <row r="5" spans="2:6" x14ac:dyDescent="0.25">
      <c r="B5" s="5" t="s">
        <v>46</v>
      </c>
      <c r="C5" s="5" t="s">
        <v>46</v>
      </c>
      <c r="D5" s="5" t="s">
        <v>46</v>
      </c>
      <c r="E5" s="5" t="s">
        <v>46</v>
      </c>
      <c r="F5" s="5" t="s">
        <v>46</v>
      </c>
    </row>
    <row r="6" spans="2:6" ht="13.5" customHeight="1" x14ac:dyDescent="0.25">
      <c r="B6" s="68"/>
      <c r="C6" s="69"/>
      <c r="D6" s="69"/>
      <c r="E6" s="69"/>
      <c r="F6" s="70"/>
    </row>
  </sheetData>
  <mergeCells count="2">
    <mergeCell ref="B3:F3"/>
    <mergeCell ref="B6:F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7"/>
  <sheetViews>
    <sheetView tabSelected="1" zoomScale="68" zoomScaleNormal="68" workbookViewId="0">
      <selection activeCell="G4" sqref="G4"/>
    </sheetView>
  </sheetViews>
  <sheetFormatPr defaultRowHeight="15" x14ac:dyDescent="0.25"/>
  <cols>
    <col min="3" max="3" width="26.5703125" customWidth="1"/>
    <col min="4" max="4" width="16.85546875" customWidth="1"/>
    <col min="5" max="5" width="17.140625" customWidth="1"/>
    <col min="6" max="6" width="17.42578125" customWidth="1"/>
    <col min="7" max="7" width="15.85546875" customWidth="1"/>
  </cols>
  <sheetData>
    <row r="2" spans="2:7" ht="15" customHeight="1" x14ac:dyDescent="0.25">
      <c r="B2" s="52" t="s">
        <v>37</v>
      </c>
      <c r="C2" s="53"/>
      <c r="D2" s="53"/>
      <c r="E2" s="53"/>
      <c r="F2" s="53"/>
      <c r="G2" s="54"/>
    </row>
    <row r="3" spans="2:7" ht="53.25" customHeight="1" x14ac:dyDescent="0.25">
      <c r="B3" s="5" t="s">
        <v>1</v>
      </c>
      <c r="C3" s="3" t="s">
        <v>38</v>
      </c>
      <c r="D3" s="3" t="s">
        <v>39</v>
      </c>
      <c r="E3" s="3" t="s">
        <v>40</v>
      </c>
      <c r="F3" s="3" t="s">
        <v>41</v>
      </c>
      <c r="G3" s="3" t="s">
        <v>42</v>
      </c>
    </row>
    <row r="4" spans="2:7" x14ac:dyDescent="0.25">
      <c r="B4" s="15"/>
      <c r="C4" s="4" t="s">
        <v>66</v>
      </c>
      <c r="D4" s="7">
        <v>91753254</v>
      </c>
      <c r="E4" s="16" t="s">
        <v>67</v>
      </c>
      <c r="F4" s="5" t="s">
        <v>46</v>
      </c>
      <c r="G4" s="7">
        <v>91881635</v>
      </c>
    </row>
    <row r="5" spans="2:7" x14ac:dyDescent="0.25">
      <c r="B5" s="8"/>
      <c r="C5" s="4"/>
      <c r="D5" s="4"/>
      <c r="E5" s="4"/>
      <c r="F5" s="4"/>
      <c r="G5" s="4"/>
    </row>
    <row r="6" spans="2:7" ht="12.75" customHeight="1" x14ac:dyDescent="0.25">
      <c r="B6" s="56"/>
      <c r="C6" s="56"/>
      <c r="D6" s="56"/>
      <c r="E6" s="56"/>
      <c r="F6" s="56"/>
      <c r="G6" s="56"/>
    </row>
    <row r="7" spans="2:7" ht="18.75" x14ac:dyDescent="0.25">
      <c r="B7" s="1"/>
    </row>
  </sheetData>
  <mergeCells count="2">
    <mergeCell ref="B6:G6"/>
    <mergeCell ref="B2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ПРН</vt:lpstr>
      <vt:lpstr> выбрПРН</vt:lpstr>
      <vt:lpstr>сброс ПРН</vt:lpstr>
      <vt:lpstr> сточн водах ПРН</vt:lpstr>
      <vt:lpstr>отхПРН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2023-03-24T08:23:03Z</dcterms:modified>
</cp:coreProperties>
</file>